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tch\Downloads\"/>
    </mc:Choice>
  </mc:AlternateContent>
  <xr:revisionPtr revIDLastSave="3155" documentId="13_ncr:1_{4DFF1FC9-5DBA-46C1-97BA-20A9A8B28BF1}" xr6:coauthVersionLast="47" xr6:coauthVersionMax="47" xr10:uidLastSave="{17A4EEE6-B320-4591-BE7C-05E555200E3D}"/>
  <bookViews>
    <workbookView xWindow="28680" yWindow="465" windowWidth="25440" windowHeight="15270" activeTab="1" xr2:uid="{D94CF2F0-E1AD-44E8-8C14-A4E3FCA488E3}"/>
  </bookViews>
  <sheets>
    <sheet name="Sheet1" sheetId="1" r:id="rId1"/>
    <sheet name="Sheet2" sheetId="7" r:id="rId2"/>
    <sheet name="DS_INTERNAL_DOCUMENT_STORAGE" sheetId="3" state="veryHidden" r:id="rId3"/>
    <sheet name="DS_INTERNAL_SETTINGS_STORAGE" sheetId="4" state="veryHidden" r:id="rId4"/>
    <sheet name="DS_INTERNAL_DOCGROUP_STORAGE" sheetId="5" state="veryHidden" r:id="rId5"/>
    <sheet name="DS_INTERNAL_SNIP_STORAGE" sheetId="6" state="very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7" l="1"/>
  <c r="O10" i="7" s="1"/>
  <c r="N31" i="7"/>
  <c r="N10" i="7" s="1"/>
  <c r="M31" i="7"/>
  <c r="M10" i="7" s="1"/>
  <c r="E31" i="7"/>
  <c r="E10" i="7" s="1"/>
  <c r="D31" i="7"/>
  <c r="D10" i="7" s="1"/>
  <c r="B31" i="7"/>
  <c r="F41" i="7"/>
  <c r="P31" i="7" s="1"/>
  <c r="P10" i="7" s="1"/>
  <c r="F40" i="7"/>
  <c r="F39" i="7"/>
  <c r="F18" i="7" s="1"/>
  <c r="F38" i="7"/>
  <c r="F17" i="7" s="1"/>
  <c r="F37" i="7"/>
  <c r="F16" i="7" s="1"/>
  <c r="F36" i="7"/>
  <c r="F15" i="7" s="1"/>
  <c r="F35" i="7"/>
  <c r="J31" i="7" s="1"/>
  <c r="J10" i="7" s="1"/>
  <c r="F34" i="7"/>
  <c r="F13" i="7" s="1"/>
  <c r="F33" i="7"/>
  <c r="F12" i="7" s="1"/>
  <c r="F32" i="7"/>
  <c r="F11" i="7" s="1"/>
  <c r="F29" i="7"/>
  <c r="F8" i="7" s="1"/>
  <c r="F30" i="7"/>
  <c r="F9" i="7" s="1"/>
  <c r="F28" i="7"/>
  <c r="F7" i="7" s="1"/>
  <c r="F27" i="7"/>
  <c r="F6" i="7" s="1"/>
  <c r="N41" i="7"/>
  <c r="E41" i="7"/>
  <c r="E20" i="7" s="1"/>
  <c r="D41" i="7"/>
  <c r="D20" i="7" s="1"/>
  <c r="B41" i="7"/>
  <c r="B20" i="7" s="1"/>
  <c r="P40" i="7"/>
  <c r="P19" i="7" s="1"/>
  <c r="P39" i="7"/>
  <c r="P18" i="7" s="1"/>
  <c r="P38" i="7"/>
  <c r="P17" i="7" s="1"/>
  <c r="P37" i="7"/>
  <c r="P16" i="7" s="1"/>
  <c r="P35" i="7"/>
  <c r="P14" i="7" s="1"/>
  <c r="P32" i="7"/>
  <c r="P30" i="7"/>
  <c r="P29" i="7"/>
  <c r="P8" i="7" s="1"/>
  <c r="P27" i="7"/>
  <c r="P6" i="7" s="1"/>
  <c r="P36" i="7"/>
  <c r="O36" i="7"/>
  <c r="O15" i="7" s="1"/>
  <c r="N36" i="7"/>
  <c r="N15" i="7" s="1"/>
  <c r="M36" i="7"/>
  <c r="M15" i="7" s="1"/>
  <c r="G36" i="7"/>
  <c r="G15" i="7" s="1"/>
  <c r="E36" i="7"/>
  <c r="E15" i="7" s="1"/>
  <c r="G41" i="7"/>
  <c r="G20" i="7" s="1"/>
  <c r="J41" i="7"/>
  <c r="K41" i="7"/>
  <c r="K40" i="7"/>
  <c r="K19" i="7" s="1"/>
  <c r="K39" i="7"/>
  <c r="K38" i="7"/>
  <c r="K17" i="7" s="1"/>
  <c r="K37" i="7"/>
  <c r="L36" i="7" s="1"/>
  <c r="L15" i="7" s="1"/>
  <c r="K35" i="7"/>
  <c r="K14" i="7" s="1"/>
  <c r="P34" i="7"/>
  <c r="P13" i="7" s="1"/>
  <c r="O34" i="7"/>
  <c r="O13" i="7" s="1"/>
  <c r="N34" i="7"/>
  <c r="J34" i="7"/>
  <c r="J13" i="7" s="1"/>
  <c r="D34" i="7"/>
  <c r="D13" i="7" s="1"/>
  <c r="B34" i="7"/>
  <c r="B13" i="7" s="1"/>
  <c r="K32" i="7"/>
  <c r="K11" i="7" s="1"/>
  <c r="K30" i="7"/>
  <c r="K9" i="7" s="1"/>
  <c r="K29" i="7"/>
  <c r="K8" i="7" s="1"/>
  <c r="K27" i="7"/>
  <c r="B36" i="7" s="1"/>
  <c r="B15" i="7" s="1"/>
  <c r="J36" i="7"/>
  <c r="I41" i="7"/>
  <c r="I40" i="7"/>
  <c r="I19" i="7" s="1"/>
  <c r="I39" i="7"/>
  <c r="I18" i="7" s="1"/>
  <c r="I38" i="7"/>
  <c r="I17" i="7" s="1"/>
  <c r="I37" i="7"/>
  <c r="I16" i="7" s="1"/>
  <c r="I36" i="7"/>
  <c r="K34" i="7" s="1"/>
  <c r="K13" i="7" s="1"/>
  <c r="I15" i="7"/>
  <c r="I35" i="7"/>
  <c r="I14" i="7" s="1"/>
  <c r="I32" i="7"/>
  <c r="I11" i="7" s="1"/>
  <c r="I30" i="7"/>
  <c r="I9" i="7" s="1"/>
  <c r="I29" i="7"/>
  <c r="I8" i="7" s="1"/>
  <c r="I27" i="7"/>
  <c r="J33" i="7"/>
  <c r="J12" i="7" s="1"/>
  <c r="H41" i="7"/>
  <c r="P33" i="7" s="1"/>
  <c r="P12" i="7" s="1"/>
  <c r="H40" i="7"/>
  <c r="H19" i="7" s="1"/>
  <c r="H39" i="7"/>
  <c r="H18" i="7" s="1"/>
  <c r="H38" i="7"/>
  <c r="H17" i="7" s="1"/>
  <c r="H37" i="7"/>
  <c r="H16" i="7" s="1"/>
  <c r="H36" i="7"/>
  <c r="K33" i="7" s="1"/>
  <c r="K12" i="7" s="1"/>
  <c r="H35" i="7"/>
  <c r="H14" i="7" s="1"/>
  <c r="H34" i="7"/>
  <c r="H13" i="7" s="1"/>
  <c r="H32" i="7"/>
  <c r="H11" i="7" s="1"/>
  <c r="H30" i="7"/>
  <c r="E33" i="7" s="1"/>
  <c r="E12" i="7" s="1"/>
  <c r="H29" i="7"/>
  <c r="H8" i="7" s="1"/>
  <c r="H27" i="7"/>
  <c r="H6" i="7" s="1"/>
  <c r="C41" i="7"/>
  <c r="C20" i="7" s="1"/>
  <c r="C40" i="7"/>
  <c r="C19" i="7" s="1"/>
  <c r="C39" i="7"/>
  <c r="N28" i="7" s="1"/>
  <c r="N7" i="7" s="1"/>
  <c r="C38" i="7"/>
  <c r="C17" i="7" s="1"/>
  <c r="C37" i="7"/>
  <c r="C16" i="7" s="1"/>
  <c r="C36" i="7"/>
  <c r="C15" i="7" s="1"/>
  <c r="C35" i="7"/>
  <c r="C14" i="7" s="1"/>
  <c r="C34" i="7"/>
  <c r="C13" i="7" s="1"/>
  <c r="C33" i="7"/>
  <c r="C12" i="7" s="1"/>
  <c r="C32" i="7"/>
  <c r="G28" i="7" s="1"/>
  <c r="G7" i="7" s="1"/>
  <c r="C30" i="7"/>
  <c r="C9" i="7" s="1"/>
  <c r="C29" i="7"/>
  <c r="C8" i="7" s="1"/>
  <c r="C27" i="7"/>
  <c r="C6" i="7" s="1"/>
  <c r="P9" i="7"/>
  <c r="P11" i="7"/>
  <c r="P15" i="7"/>
  <c r="O8" i="7"/>
  <c r="O9" i="7"/>
  <c r="O11" i="7"/>
  <c r="O14" i="7"/>
  <c r="O16" i="7"/>
  <c r="O17" i="7"/>
  <c r="O18" i="7"/>
  <c r="N20" i="7"/>
  <c r="N8" i="7"/>
  <c r="N9" i="7"/>
  <c r="N11" i="7"/>
  <c r="N13" i="7"/>
  <c r="N14" i="7"/>
  <c r="N16" i="7"/>
  <c r="N17" i="7"/>
  <c r="M19" i="7"/>
  <c r="M18" i="7"/>
  <c r="M8" i="7"/>
  <c r="M9" i="7"/>
  <c r="M11" i="7"/>
  <c r="M14" i="7"/>
  <c r="M16" i="7"/>
  <c r="L18" i="7"/>
  <c r="L19" i="7"/>
  <c r="L17" i="7"/>
  <c r="L8" i="7"/>
  <c r="L9" i="7"/>
  <c r="L11" i="7"/>
  <c r="L14" i="7"/>
  <c r="K18" i="7"/>
  <c r="K20" i="7"/>
  <c r="J16" i="7"/>
  <c r="J17" i="7"/>
  <c r="J18" i="7"/>
  <c r="J19" i="7"/>
  <c r="J20" i="7"/>
  <c r="J8" i="7"/>
  <c r="J9" i="7"/>
  <c r="J11" i="7"/>
  <c r="I20" i="7"/>
  <c r="H15" i="7"/>
  <c r="H20" i="7"/>
  <c r="F14" i="7"/>
  <c r="F19" i="7"/>
  <c r="F20" i="7"/>
  <c r="G14" i="7"/>
  <c r="G16" i="7"/>
  <c r="G17" i="7"/>
  <c r="G18" i="7"/>
  <c r="G19" i="7"/>
  <c r="E11" i="7"/>
  <c r="E14" i="7"/>
  <c r="E16" i="7"/>
  <c r="E17" i="7"/>
  <c r="E18" i="7"/>
  <c r="E19" i="7"/>
  <c r="E8" i="7"/>
  <c r="D11" i="7"/>
  <c r="D14" i="7"/>
  <c r="D16" i="7"/>
  <c r="D17" i="7"/>
  <c r="D18" i="7"/>
  <c r="D19" i="7"/>
  <c r="I6" i="7"/>
  <c r="I5" i="7"/>
  <c r="J15" i="7"/>
  <c r="B14" i="7"/>
  <c r="N19" i="7"/>
  <c r="H5" i="7"/>
  <c r="B10" i="7"/>
  <c r="F5" i="7"/>
  <c r="B19" i="7"/>
  <c r="B8" i="7"/>
  <c r="O6" i="7"/>
  <c r="P5" i="7"/>
  <c r="O5" i="7"/>
  <c r="O26" i="7"/>
  <c r="P26" i="7"/>
  <c r="G9" i="7"/>
  <c r="B17" i="7"/>
  <c r="B16" i="7"/>
  <c r="G6" i="7"/>
  <c r="N26" i="7"/>
  <c r="M26" i="7"/>
  <c r="L26" i="7"/>
  <c r="K26" i="7"/>
  <c r="J26" i="7"/>
  <c r="H26" i="7"/>
  <c r="G26" i="7"/>
  <c r="E26" i="7"/>
  <c r="D26" i="7"/>
  <c r="B26" i="7"/>
  <c r="B18" i="7"/>
  <c r="D9" i="7"/>
  <c r="B9" i="7"/>
  <c r="G8" i="7"/>
  <c r="N6" i="7"/>
  <c r="M6" i="7"/>
  <c r="L6" i="7"/>
  <c r="K6" i="7"/>
  <c r="J6" i="7"/>
  <c r="E6" i="7"/>
  <c r="D6" i="7"/>
  <c r="N5" i="7"/>
  <c r="M5" i="7"/>
  <c r="L5" i="7"/>
  <c r="G5" i="7"/>
  <c r="E5" i="7"/>
  <c r="D5" i="7"/>
  <c r="B5" i="7"/>
  <c r="L23" i="1"/>
  <c r="L24" i="1"/>
  <c r="L5" i="1" s="1"/>
  <c r="I36" i="1"/>
  <c r="N31" i="1" s="1"/>
  <c r="N12" i="1" s="1"/>
  <c r="I34" i="1"/>
  <c r="I15" i="1" s="1"/>
  <c r="I33" i="1"/>
  <c r="K31" i="1" s="1"/>
  <c r="K12" i="1" s="1"/>
  <c r="I32" i="1"/>
  <c r="J31" i="1" s="1"/>
  <c r="J12" i="1" s="1"/>
  <c r="I30" i="1"/>
  <c r="H31" i="1" s="1"/>
  <c r="H12" i="1" s="1"/>
  <c r="I29" i="1"/>
  <c r="G31" i="1" s="1"/>
  <c r="G12" i="1" s="1"/>
  <c r="I28" i="1"/>
  <c r="I9" i="1" s="1"/>
  <c r="I27" i="1"/>
  <c r="I8" i="1" s="1"/>
  <c r="I26" i="1"/>
  <c r="I7" i="1" s="1"/>
  <c r="I24" i="1"/>
  <c r="I5" i="1" s="1"/>
  <c r="L36" i="1"/>
  <c r="L17" i="1" s="1"/>
  <c r="K36" i="1"/>
  <c r="K17" i="1" s="1"/>
  <c r="K34" i="1"/>
  <c r="K15" i="1" s="1"/>
  <c r="J36" i="1"/>
  <c r="N32" i="1" s="1"/>
  <c r="N13" i="1" s="1"/>
  <c r="J34" i="1"/>
  <c r="L32" i="1" s="1"/>
  <c r="L13" i="1" s="1"/>
  <c r="J33" i="1"/>
  <c r="J14" i="1" s="1"/>
  <c r="H36" i="1"/>
  <c r="N30" i="1" s="1"/>
  <c r="N11" i="1" s="1"/>
  <c r="H34" i="1"/>
  <c r="H15" i="1" s="1"/>
  <c r="H33" i="1"/>
  <c r="H14" i="1" s="1"/>
  <c r="H32" i="1"/>
  <c r="H13" i="1" s="1"/>
  <c r="G36" i="1"/>
  <c r="G17" i="1" s="1"/>
  <c r="G34" i="1"/>
  <c r="G15" i="1" s="1"/>
  <c r="G33" i="1"/>
  <c r="K29" i="1" s="1"/>
  <c r="K10" i="1" s="1"/>
  <c r="G32" i="1"/>
  <c r="J29" i="1" s="1"/>
  <c r="J10" i="1" s="1"/>
  <c r="G30" i="1"/>
  <c r="G11" i="1" s="1"/>
  <c r="F36" i="1"/>
  <c r="F17" i="1" s="1"/>
  <c r="F34" i="1"/>
  <c r="L28" i="1" s="1"/>
  <c r="L9" i="1" s="1"/>
  <c r="F33" i="1"/>
  <c r="F14" i="1" s="1"/>
  <c r="F32" i="1"/>
  <c r="F13" i="1" s="1"/>
  <c r="F30" i="1"/>
  <c r="F11" i="1" s="1"/>
  <c r="F29" i="1"/>
  <c r="F10" i="1" s="1"/>
  <c r="E36" i="1"/>
  <c r="E17" i="1" s="1"/>
  <c r="E34" i="1"/>
  <c r="E15" i="1" s="1"/>
  <c r="E33" i="1"/>
  <c r="K27" i="1" s="1"/>
  <c r="K8" i="1" s="1"/>
  <c r="E32" i="1"/>
  <c r="J27" i="1" s="1"/>
  <c r="J8" i="1" s="1"/>
  <c r="E30" i="1"/>
  <c r="E11" i="1" s="1"/>
  <c r="E29" i="1"/>
  <c r="E10" i="1" s="1"/>
  <c r="E28" i="1"/>
  <c r="E9" i="1" s="1"/>
  <c r="D36" i="1"/>
  <c r="N26" i="1" s="1"/>
  <c r="N7" i="1" s="1"/>
  <c r="D34" i="1"/>
  <c r="L26" i="1" s="1"/>
  <c r="L7" i="1" s="1"/>
  <c r="D33" i="1"/>
  <c r="D14" i="1" s="1"/>
  <c r="D32" i="1"/>
  <c r="D13" i="1" s="1"/>
  <c r="D30" i="1"/>
  <c r="D11" i="1" s="1"/>
  <c r="D29" i="1"/>
  <c r="D10" i="1" s="1"/>
  <c r="D28" i="1"/>
  <c r="D9" i="1" s="1"/>
  <c r="K26" i="1"/>
  <c r="K7" i="1" s="1"/>
  <c r="J26" i="1"/>
  <c r="J7" i="1" s="1"/>
  <c r="H26" i="1"/>
  <c r="H7" i="1" s="1"/>
  <c r="G26" i="1"/>
  <c r="G7" i="1" s="1"/>
  <c r="F26" i="1"/>
  <c r="F7" i="1" s="1"/>
  <c r="D27" i="1"/>
  <c r="E26" i="1" s="1"/>
  <c r="E7" i="1" s="1"/>
  <c r="N24" i="1"/>
  <c r="B36" i="1" s="1"/>
  <c r="B17" i="1" s="1"/>
  <c r="K24" i="1"/>
  <c r="B33" i="1" s="1"/>
  <c r="B14" i="1" s="1"/>
  <c r="J24" i="1"/>
  <c r="B32" i="1" s="1"/>
  <c r="B13" i="1" s="1"/>
  <c r="H24" i="1"/>
  <c r="B30" i="1" s="1"/>
  <c r="B11" i="1" s="1"/>
  <c r="G24" i="1"/>
  <c r="B29" i="1" s="1"/>
  <c r="B10" i="1" s="1"/>
  <c r="F24" i="1"/>
  <c r="B28" i="1" s="1"/>
  <c r="B9" i="1" s="1"/>
  <c r="E24" i="1"/>
  <c r="B27" i="1" s="1"/>
  <c r="B8" i="1" s="1"/>
  <c r="D24" i="1"/>
  <c r="B26" i="1" s="1"/>
  <c r="B7" i="1" s="1"/>
  <c r="N23" i="1"/>
  <c r="K23" i="1"/>
  <c r="J23" i="1"/>
  <c r="I23" i="1"/>
  <c r="H23" i="1"/>
  <c r="G23" i="1"/>
  <c r="F23" i="1"/>
  <c r="E23" i="1"/>
  <c r="D23" i="1"/>
  <c r="B23" i="1"/>
  <c r="N4" i="1"/>
  <c r="L4" i="1"/>
  <c r="K4" i="1"/>
  <c r="J4" i="1"/>
  <c r="I4" i="1"/>
  <c r="H4" i="1"/>
  <c r="G4" i="1"/>
  <c r="F4" i="1"/>
  <c r="E4" i="1"/>
  <c r="D4" i="1"/>
  <c r="B4" i="1"/>
  <c r="L33" i="7" l="1"/>
  <c r="L12" i="7" s="1"/>
  <c r="E34" i="7"/>
  <c r="E13" i="7" s="1"/>
  <c r="G31" i="7"/>
  <c r="G10" i="7" s="1"/>
  <c r="C18" i="7"/>
  <c r="M33" i="7"/>
  <c r="M12" i="7" s="1"/>
  <c r="G34" i="7"/>
  <c r="G13" i="7" s="1"/>
  <c r="H31" i="7"/>
  <c r="H10" i="7" s="1"/>
  <c r="K16" i="7"/>
  <c r="D28" i="7"/>
  <c r="D7" i="7" s="1"/>
  <c r="N33" i="7"/>
  <c r="N12" i="7" s="1"/>
  <c r="L41" i="7"/>
  <c r="L20" i="7" s="1"/>
  <c r="I31" i="7"/>
  <c r="I10" i="7" s="1"/>
  <c r="H9" i="7"/>
  <c r="E28" i="7"/>
  <c r="E7" i="7" s="1"/>
  <c r="O33" i="7"/>
  <c r="O12" i="7" s="1"/>
  <c r="M41" i="7"/>
  <c r="M20" i="7" s="1"/>
  <c r="M28" i="7"/>
  <c r="M7" i="7" s="1"/>
  <c r="L34" i="7"/>
  <c r="L13" i="7" s="1"/>
  <c r="K31" i="7"/>
  <c r="K10" i="7" s="1"/>
  <c r="B33" i="7"/>
  <c r="B12" i="7" s="1"/>
  <c r="M34" i="7"/>
  <c r="M13" i="7" s="1"/>
  <c r="O41" i="7"/>
  <c r="O20" i="7" s="1"/>
  <c r="L31" i="7"/>
  <c r="L10" i="7" s="1"/>
  <c r="D33" i="7"/>
  <c r="D12" i="7" s="1"/>
  <c r="D36" i="7"/>
  <c r="D15" i="7" s="1"/>
  <c r="G33" i="7"/>
  <c r="G12" i="7" s="1"/>
  <c r="I33" i="7"/>
  <c r="I12" i="7" s="1"/>
  <c r="C31" i="7"/>
  <c r="C10" i="7" s="1"/>
  <c r="H28" i="7"/>
  <c r="H7" i="7" s="1"/>
  <c r="I28" i="7"/>
  <c r="I7" i="7" s="1"/>
  <c r="J28" i="7"/>
  <c r="J7" i="7" s="1"/>
  <c r="K28" i="7"/>
  <c r="K7" i="7" s="1"/>
  <c r="P28" i="7"/>
  <c r="P7" i="7" s="1"/>
  <c r="L28" i="7"/>
  <c r="L7" i="7" s="1"/>
  <c r="C11" i="7"/>
  <c r="O28" i="7"/>
  <c r="O7" i="7" s="1"/>
  <c r="B28" i="7"/>
  <c r="B7" i="7" s="1"/>
  <c r="B11" i="7"/>
  <c r="J30" i="1"/>
  <c r="J11" i="1" s="1"/>
  <c r="K30" i="1"/>
  <c r="K11" i="1" s="1"/>
  <c r="B31" i="1"/>
  <c r="B12" i="1" s="1"/>
  <c r="I17" i="1"/>
  <c r="I14" i="1"/>
  <c r="G28" i="1"/>
  <c r="G9" i="1" s="1"/>
  <c r="N27" i="1"/>
  <c r="N8" i="1" s="1"/>
  <c r="D8" i="1"/>
  <c r="D17" i="1"/>
  <c r="J28" i="1"/>
  <c r="J9" i="1" s="1"/>
  <c r="G14" i="1"/>
  <c r="K28" i="1"/>
  <c r="K9" i="1" s="1"/>
  <c r="F15" i="1"/>
  <c r="I13" i="1"/>
  <c r="J17" i="1"/>
  <c r="N5" i="1"/>
  <c r="F27" i="1"/>
  <c r="F8" i="1" s="1"/>
  <c r="F5" i="1"/>
  <c r="E31" i="1"/>
  <c r="E12" i="1" s="1"/>
  <c r="N28" i="1"/>
  <c r="N9" i="1" s="1"/>
  <c r="J15" i="1"/>
  <c r="G5" i="1"/>
  <c r="K5" i="1"/>
  <c r="N33" i="1"/>
  <c r="N14" i="1" s="1"/>
  <c r="D15" i="1"/>
  <c r="K32" i="1"/>
  <c r="K13" i="1" s="1"/>
  <c r="G27" i="1"/>
  <c r="G8" i="1" s="1"/>
  <c r="N34" i="1"/>
  <c r="N15" i="1" s="1"/>
  <c r="G13" i="1"/>
  <c r="L27" i="1"/>
  <c r="L8" i="1" s="1"/>
  <c r="H27" i="1"/>
  <c r="H8" i="1" s="1"/>
  <c r="L29" i="1"/>
  <c r="L10" i="1" s="1"/>
  <c r="D31" i="1"/>
  <c r="D12" i="1" s="1"/>
  <c r="E14" i="1"/>
  <c r="I11" i="1"/>
  <c r="H28" i="1"/>
  <c r="H9" i="1" s="1"/>
  <c r="L30" i="1"/>
  <c r="L11" i="1" s="1"/>
  <c r="E13" i="1"/>
  <c r="H5" i="1"/>
  <c r="I10" i="1"/>
  <c r="H29" i="1"/>
  <c r="H10" i="1" s="1"/>
  <c r="F31" i="1"/>
  <c r="F12" i="1" s="1"/>
  <c r="L33" i="1"/>
  <c r="L14" i="1" s="1"/>
  <c r="L31" i="1"/>
  <c r="L12" i="1" s="1"/>
  <c r="E5" i="1"/>
  <c r="H17" i="1"/>
  <c r="N29" i="1"/>
  <c r="N10" i="1" s="1"/>
  <c r="D5" i="1"/>
  <c r="J5" i="1"/>
  <c r="B34" i="1"/>
  <c r="B15" i="1" s="1"/>
</calcChain>
</file>

<file path=xl/sharedStrings.xml><?xml version="1.0" encoding="utf-8"?>
<sst xmlns="http://schemas.openxmlformats.org/spreadsheetml/2006/main" count="123" uniqueCount="49">
  <si>
    <t>Bedeque</t>
  </si>
  <si>
    <t>Charlottetown</t>
  </si>
  <si>
    <t>Cornwall</t>
  </si>
  <si>
    <t>Kensington</t>
  </si>
  <si>
    <t>Northside</t>
  </si>
  <si>
    <t>Souris</t>
  </si>
  <si>
    <t>Stratford</t>
  </si>
  <si>
    <t>Summerside</t>
  </si>
  <si>
    <t>Three Rivers</t>
  </si>
  <si>
    <t>West Prince</t>
  </si>
  <si>
    <t>East Prince</t>
  </si>
  <si>
    <t>* West Prince: Tignish, Alberton, O'Leary</t>
  </si>
  <si>
    <t>* East Prince: Tyne Valley, Richmond, Evangeline</t>
  </si>
  <si>
    <t>Alberton</t>
  </si>
  <si>
    <t>Morell</t>
  </si>
  <si>
    <t>Tyne Valley</t>
  </si>
  <si>
    <t>7RVDD6R5CW507FZKANGADQSAKY225H18VY0Z5WMKT1G8P39CXNJ0</t>
  </si>
  <si>
    <t>Morrison, Owen</t>
  </si>
  <si>
    <t>Create</t>
  </si>
  <si>
    <t>da670909-d20c-4564-94db-b581d2626e49</t>
  </si>
  <si>
    <t>{"id":"da670909-d20c-4564-94db-b581d2626e49","type":1,"name":"workbookId","value":"3fda6207-d277-4c03-bb3c-4dedd70360ce"}</t>
  </si>
  <si>
    <t>1413ab7e-b593-42dd-b25e-ae08e08905f3</t>
  </si>
  <si>
    <t>{"id":"1413ab7e-b593-42dd-b25e-ae08e08905f3","type":0,"name":"dataSnipperSheetDeleted","value":"false"}</t>
  </si>
  <si>
    <t>6e5fa580-ee13-4846-8345-2872c8a54a42</t>
  </si>
  <si>
    <t>{"id":"6e5fa580-ee13-4846-8345-2872c8a54a42","type":0,"name":"embed-documents","value":"false"}</t>
  </si>
  <si>
    <t>4689f9d0-25d4-4d05-83d9-a3225ebca8b7</t>
  </si>
  <si>
    <t>{"id":"4689f9d0-25d4-4d05-83d9-a3225ebca8b7","type":0,"name":"table-snip-suggestions","value":"true"}</t>
  </si>
  <si>
    <t>e9085eaa-5af8-4c3a-8e61-9fcb9b227fc0</t>
  </si>
  <si>
    <t>{"id":"e9085eaa-5af8-4c3a-8e61-9fcb9b227fc0","type":1,"name":"migratedFssProjectId","value":""}</t>
  </si>
  <si>
    <t>9239c4ff-faac-436c-9c6d-849f6c021d17</t>
  </si>
  <si>
    <t>{"id":"9239c4ff-faac-436c-9c6d-849f6c021d17","documentGroupId":"00000000-0000-0000-0000-000000000000","name":"Mileage Chart.pdf","path":"C:\\Users\\morriso\\OneDrive - GrantThorntonCA\\Desktop\\PEIBUA\\Mileage Chart.pdf","relativePath":"Mileage Chart.pdf","storageType":2,"importedBy":"Morrison, Owen","importedAt":"2025-11-18T14:57:56.38919Z","compressed":false,"storageLocations":{},"checksum":"02588ded8c3be3b25bc5e135e445707d68a47544a9a3319f9b9a806ff6a77571"}</t>
  </si>
  <si>
    <t>91bc3c01-078d-4a1b-b127-3f71d6be8848</t>
  </si>
  <si>
    <t>{"manual":false,"separator":[{"type":0,"position":46.2599983215332,"custom":false,"removed":false},{"type":0,"position":72.583206176757813,"custom":false,"removed":false},{"type":0,"position":82.1520004272461,"custom":false,"removed":false},{"type":0,"position":103.68719482421875,"custom":false,"removed":false},{"type":0,"position":130.80239868164063,"custom":false,"removed":false},{"type":0,"position":157.1256103515625,"custom":false,"removed":false},{"type":0,"position":183.44160461425781,"custom":false,"removed":false},{"type":0,"position":208.16641235351563,"custom":false,"removed":false},{"type":0,"position":220.9320068359375,"custom":false,"removed":false},{"type":0,"position":242.46719360351563,"custom":false,"removed":false},{"type":0,"position":269.5823974609375,"custom":false,"removed":false},{"type":0,"position":295.90557861328125,"custom":false,"removed":false},{"type":0,"position":322.22158813476563,"custom":false,"removed":false},{"type":0,"position":346.94638061523438,"custom":false,"removed":false},{"type":0,"position":374.06881713867188,"custom":false,"removed":false},{"type":0,"position":401.98318481445313,"custom":false,"removed":false},{"type":0,"position":429.09841918945313,"custom":false,"removed":false},{"type":0,"position":455.421630859375,"custom":false,"removed":false},{"type":0,"position":480.94561767578125,"custom":false,"removed":false},{"type":0,"position":514.44000244140625,"custom":false,"removed":false},{"type":0,"position":540.76318359375,"custom":false,"removed":false},{"type":0,"position":567.87841796875,"custom":false,"removed":false},{"type":0,"position":591.803955078125,"custom":false,"removed":false},{"type":0,"position":619.7183837890625,"custom":false,"removed":false},{"type":0,"position":657.20880126953125,"custom":false,"removed":false},{"type":0,"position":684.32403564453125,"custom":false,"removed":false},{"type":0,"position":710.647216796875,"custom":false,"removed":false},{"type":0,"position":734.57281494140625,"custom":false,"removed":false},{"type":0,"position":764.0855712890625,"custom":false,"removed":false},{"type":1,"position":321.9407958984375,"custom":false,"removed":false},{"type":1,"position":313.97039794921875,"custom":false,"removed":false},{"type":1,"position":306.7991943359375,"custom":false,"removed":false},{"type":1,"position":298.82879638671875,"custom":false,"removed":false},{"type":1,"position":291.6575927734375,"custom":false,"removed":false},{"type":1,"position":282.88800048828125,"custom":false,"removed":false},{"type":1,"position":274.9248046875,"custom":false,"removed":false},{"type":1,"position":266.95440673828125,"custom":false,"removed":false},{"type":1,"position":258.9840087890625,"custom":false,"removed":false},{"type":1,"position":251.81280517578125,"custom":false,"removed":false},{"type":1,"position":243.8424072265625,"custom":false,"removed":false},{"type":1,"position":235.87200927734375,"custom":false,"removed":false},{"type":1,"position":228.7008056640625,"custom":false,"removed":false},{"type":1,"position":220.73759460449219,"custom":false,"removed":false},{"type":1,"position":212.7672119140625,"custom":false,"removed":false},{"type":1,"position":204.79678344726563,"custom":false,"removed":false},{"type":1,"position":196.826416015625,"custom":false,"removed":false},{"type":1,"position":188.85600280761719,"custom":false,"removed":false},{"type":1,"position":180.89279174804688,"custom":false,"removed":false},{"type":1,"position":172.92240905761719,"custom":false,"removed":false},{"type":1,"position":165.75120544433594,"custom":false,"removed":false},{"type":1,"position":157.78079223632813,"custom":false,"removed":false},{"type":1,"position":150.60960388183594,"custom":false,"removed":false},{"type":1,"position":142.63920593261719,"custom":false,"removed":false},{"type":1,"position":134.66879272460938,"custom":false,"removed":false},{"type":1,"position":126.70559692382813,"custom":false,"removed":false}],"headersSeparatorCoordinate":118.73519897460938,"name":"DS_Mileage_Chart.pdf_page.1_478115571","id":"91bc3c01-078d-4a1b-b127-3f71d6be8848","documentId":"9239c4ff-faac-436c-9c6d-849f6c021d17","pageNumber":1,"type":5,"x1":8.7768,"x2":785.6207,"y1":282.096,"y2":499.643982}</t>
  </si>
  <si>
    <t>Update</t>
  </si>
  <si>
    <t>{"manual":false,"separator":[{"type":0,"position":46.2599983215332,"custom":false,"removed":false},{"type":0,"position":72.583206176757813,"custom":false,"removed":false},{"type":0,"position":100.68719482421875,"custom":false,"removed":false},{"type":0,"position":103.68719482421875,"custom":false,"removed":false},{"type":0,"position":130.80239868164063,"custom":false,"removed":false},{"type":0,"position":157.1256103515625,"custom":false,"removed":false},{"type":0,"position":183.44160461425781,"custom":false,"removed":false},{"type":0,"position":208.16641235351563,"custom":false,"removed":false},{"type":0,"position":220.9320068359375,"custom":false,"removed":false},{"type":0,"position":242.46719360351563,"custom":false,"removed":false},{"type":0,"position":269.5823974609375,"custom":false,"removed":false},{"type":0,"position":295.90557861328125,"custom":false,"removed":false},{"type":0,"position":322.22158813476563,"custom":false,"removed":false},{"type":0,"position":346.94638061523438,"custom":false,"removed":false},{"type":0,"position":374.06881713867188,"custom":false,"removed":false},{"type":0,"position":401.98318481445313,"custom":false,"removed":false},{"type":0,"position":429.09841918945313,"custom":false,"removed":false},{"type":0,"position":455.421630859375,"custom":false,"removed":false},{"type":0,"position":480.94561767578125,"custom":false,"removed":false},{"type":0,"position":514.44000244140625,"custom":false,"removed":false},{"type":0,"position":540.76318359375,"custom":false,"removed":false},{"type":0,"position":567.87841796875,"custom":false,"removed":false},{"type":0,"position":591.803955078125,"custom":false,"removed":false},{"type":0,"position":619.7183837890625,"custom":false,"removed":false},{"type":0,"position":657.20880126953125,"custom":false,"removed":false},{"type":0,"position":684.32403564453125,"custom":false,"removed":false},{"type":0,"position":710.647216796875,"custom":false,"removed":false},{"type":0,"position":734.57281494140625,"custom":false,"removed":false},{"type":0,"position":764.0855712890625,"custom":false,"removed":false},{"type":1,"position":321.9407958984375,"custom":false,"removed":false},{"type":1,"position":313.97039794921875,"custom":false,"removed":false},{"type":1,"position":306.7991943359375,"custom":false,"removed":false},{"type":1,"position":298.82879638671875,"custom":false,"removed":false},{"type":1,"position":291.6575927734375,"custom":false,"removed":false},{"type":1,"position":282.88800048828125,"custom":false,"removed":false},{"type":1,"position":274.9248046875,"custom":false,"removed":false},{"type":1,"position":266.95440673828125,"custom":false,"removed":false},{"type":1,"position":258.9840087890625,"custom":false,"removed":false},{"type":1,"position":251.81280517578125,"custom":false,"removed":false},{"type":1,"position":243.8424072265625,"custom":false,"removed":false},{"type":1,"position":235.87200927734375,"custom":false,"removed":false},{"type":1,"position":228.7008056640625,"custom":false,"removed":false},{"type":1,"position":220.73759460449219,"custom":false,"removed":false},{"type":1,"position":212.7672119140625,"custom":false,"removed":false},{"type":1,"position":204.79678344726563,"custom":false,"removed":false},{"type":1,"position":196.826416015625,"custom":false,"removed":false},{"type":1,"position":188.85600280761719,"custom":false,"removed":false},{"type":1,"position":180.89279174804688,"custom":false,"removed":false},{"type":1,"position":172.92240905761719,"custom":false,"removed":false},{"type":1,"position":165.75120544433594,"custom":false,"removed":false},{"type":1,"position":157.78079223632813,"custom":false,"removed":false},{"type":1,"position":150.60960388183594,"custom":false,"removed":false},{"type":1,"position":142.63920593261719,"custom":false,"removed":false},{"type":1,"position":134.66879272460938,"custom":false,"removed":false},{"type":1,"position":126.70559692382813,"custom":false,"removed":false}],"headersSeparatorCoordinate":118.73519897460938,"name":"DS_Mileage_Chart.pdf_page.1_478115571","id":"91bc3c01-078d-4a1b-b127-3f71d6be8848","documentId":"9239c4ff-faac-436c-9c6d-849f6c021d17","pageNumber":1,"type":5,"x1":8.7768,"x2":785.6207,"y1":282.096,"y2":499.643982}</t>
  </si>
  <si>
    <t>{"manual":false,"separator":[{"type":0,"position":46.2599983215332,"custom":false,"removed":false},{"type":0,"position":72.583206176757813,"custom":false,"removed":false},{"type":0,"position":100.68719482421875,"custom":false,"removed":false},{"type":0,"position":103.68719482421875,"custom":false,"removed":false},{"type":0,"position":130.80239868164063,"custom":false,"removed":false},{"type":0,"position":157.1256103515625,"custom":false,"removed":false},{"type":0,"position":183.44160461425781,"custom":false,"removed":false},{"type":0,"position":208.16641235351563,"custom":false,"removed":false},{"type":0,"position":239.46719360351563,"custom":false,"removed":false},{"type":0,"position":242.46719360351563,"custom":false,"removed":false},{"type":0,"position":269.5823974609375,"custom":false,"removed":false},{"type":0,"position":295.90557861328125,"custom":false,"removed":false},{"type":0,"position":322.22158813476563,"custom":false,"removed":false},{"type":0,"position":346.94638061523438,"custom":false,"removed":false},{"type":0,"position":374.06881713867188,"custom":false,"removed":false},{"type":0,"position":401.98318481445313,"custom":false,"removed":false},{"type":0,"position":429.09841918945313,"custom":false,"removed":false},{"type":0,"position":455.421630859375,"custom":false,"removed":false},{"type":0,"position":480.94561767578125,"custom":false,"removed":false},{"type":0,"position":514.44000244140625,"custom":false,"removed":false},{"type":0,"position":540.76318359375,"custom":false,"removed":false},{"type":0,"position":567.87841796875,"custom":false,"removed":false},{"type":0,"position":591.803955078125,"custom":false,"removed":false},{"type":0,"position":619.7183837890625,"custom":false,"removed":false},{"type":0,"position":657.20880126953125,"custom":false,"removed":false},{"type":0,"position":684.32403564453125,"custom":false,"removed":false},{"type":0,"position":710.647216796875,"custom":false,"removed":false},{"type":0,"position":734.57281494140625,"custom":false,"removed":false},{"type":0,"position":764.0855712890625,"custom":false,"removed":false},{"type":1,"position":321.9407958984375,"custom":false,"removed":false},{"type":1,"position":313.97039794921875,"custom":false,"removed":false},{"type":1,"position":306.7991943359375,"custom":false,"removed":false},{"type":1,"position":298.82879638671875,"custom":false,"removed":false},{"type":1,"position":291.6575927734375,"custom":false,"removed":false},{"type":1,"position":282.88800048828125,"custom":false,"removed":false},{"type":1,"position":274.9248046875,"custom":false,"removed":false},{"type":1,"position":266.95440673828125,"custom":false,"removed":false},{"type":1,"position":258.9840087890625,"custom":false,"removed":false},{"type":1,"position":251.81280517578125,"custom":false,"removed":false},{"type":1,"position":243.8424072265625,"custom":false,"removed":false},{"type":1,"position":235.87200927734375,"custom":false,"removed":false},{"type":1,"position":228.7008056640625,"custom":false,"removed":false},{"type":1,"position":220.73759460449219,"custom":false,"removed":false},{"type":1,"position":212.7672119140625,"custom":false,"removed":false},{"type":1,"position":204.79678344726563,"custom":false,"removed":false},{"type":1,"position":196.826416015625,"custom":false,"removed":false},{"type":1,"position":188.85600280761719,"custom":false,"removed":false},{"type":1,"position":180.89279174804688,"custom":false,"removed":false},{"type":1,"position":172.92240905761719,"custom":false,"removed":false},{"type":1,"position":165.75120544433594,"custom":false,"removed":false},{"type":1,"position":157.78079223632813,"custom":false,"removed":false},{"type":1,"position":150.60960388183594,"custom":false,"removed":false},{"type":1,"position":142.63920593261719,"custom":false,"removed":false},{"type":1,"position":134.66879272460938,"custom":false,"removed":false},{"type":1,"position":126.70559692382813,"custom":false,"removed":false}],"headersSeparatorCoordinate":118.73519897460938,"name":"DS_Mileage_Chart.pdf_page.1_478115571","id":"91bc3c01-078d-4a1b-b127-3f71d6be8848","documentId":"9239c4ff-faac-436c-9c6d-849f6c021d17","pageNumber":1,"type":5,"x1":8.7768,"x2":785.6207,"y1":282.096,"y2":499.643982}</t>
  </si>
  <si>
    <t>{"manual":false,"separator":[{"type":0,"position":46.2599983215332,"custom":false,"removed":false},{"type":0,"position":72.583206176757813,"custom":false,"removed":false},{"type":0,"position":100.68719482421875,"custom":false,"removed":false},{"type":0,"position":103.68719482421875,"custom":false,"removed":false},{"type":0,"position":130.80239868164063,"custom":false,"removed":false},{"type":0,"position":157.1256103515625,"custom":false,"removed":false},{"type":0,"position":183.44160461425781,"custom":false,"removed":false},{"type":0,"position":208.16641235351563,"custom":false,"removed":false},{"type":0,"position":239.46719360351563,"custom":false,"removed":false},{"type":0,"position":242.46719360351563,"custom":false,"removed":true},{"type":0,"position":269.5823974609375,"custom":false,"removed":false},{"type":0,"position":295.90557861328125,"custom":false,"removed":false},{"type":0,"position":322.22158813476563,"custom":false,"removed":false},{"type":0,"position":346.94638061523438,"custom":false,"removed":false},{"type":0,"position":374.06881713867188,"custom":false,"removed":false},{"type":0,"position":401.98318481445313,"custom":false,"removed":false},{"type":0,"position":429.09841918945313,"custom":false,"removed":false},{"type":0,"position":455.421630859375,"custom":false,"removed":false},{"type":0,"position":480.94561767578125,"custom":false,"removed":false},{"type":0,"position":514.44000244140625,"custom":false,"removed":false},{"type":0,"position":540.76318359375,"custom":false,"removed":false},{"type":0,"position":567.87841796875,"custom":false,"removed":false},{"type":0,"position":591.803955078125,"custom":false,"removed":false},{"type":0,"position":619.7183837890625,"custom":false,"removed":false},{"type":0,"position":657.20880126953125,"custom":false,"removed":false},{"type":0,"position":684.32403564453125,"custom":false,"removed":false},{"type":0,"position":710.647216796875,"custom":false,"removed":false},{"type":0,"position":734.57281494140625,"custom":false,"removed":false},{"type":0,"position":764.0855712890625,"custom":false,"removed":false},{"type":1,"position":321.9407958984375,"custom":false,"removed":false},{"type":1,"position":313.97039794921875,"custom":false,"removed":false},{"type":1,"position":306.7991943359375,"custom":false,"removed":false},{"type":1,"position":298.82879638671875,"custom":false,"removed":false},{"type":1,"position":291.6575927734375,"custom":false,"removed":false},{"type":1,"position":282.88800048828125,"custom":false,"removed":false},{"type":1,"position":274.9248046875,"custom":false,"removed":false},{"type":1,"position":266.95440673828125,"custom":false,"removed":false},{"type":1,"position":258.9840087890625,"custom":false,"removed":false},{"type":1,"position":251.81280517578125,"custom":false,"removed":false},{"type":1,"position":243.8424072265625,"custom":false,"removed":false},{"type":1,"position":235.87200927734375,"custom":false,"removed":false},{"type":1,"position":228.7008056640625,"custom":false,"removed":false},{"type":1,"position":220.73759460449219,"custom":false,"removed":false},{"type":1,"position":212.7672119140625,"custom":false,"removed":false},{"type":1,"position":204.79678344726563,"custom":false,"removed":false},{"type":1,"position":196.826416015625,"custom":false,"removed":false},{"type":1,"position":188.85600280761719,"custom":false,"removed":false},{"type":1,"position":180.89279174804688,"custom":false,"removed":false},{"type":1,"position":172.92240905761719,"custom":false,"removed":false},{"type":1,"position":165.75120544433594,"custom":false,"removed":false},{"type":1,"position":157.78079223632813,"custom":false,"removed":false},{"type":1,"position":150.60960388183594,"custom":false,"removed":false},{"type":1,"position":142.63920593261719,"custom":false,"removed":false},{"type":1,"position":134.66879272460938,"custom":false,"removed":false},{"type":1,"position":126.70559692382813,"custom":false,"removed":false}],"headersSeparatorCoordinate":118.73519897460938,"name":"DS_Mileage_Chart.pdf_page.1_478115571","id":"91bc3c01-078d-4a1b-b127-3f71d6be8848","documentId":"9239c4ff-faac-436c-9c6d-849f6c021d17","pageNumber":1,"type":5,"x1":8.7768,"x2":785.6207,"y1":282.096,"y2":499.643982}</t>
  </si>
  <si>
    <t>{"id":"1413ab7e-b593-42dd-b25e-ae08e08905f3","type":0,"name":"dataSnipperSheetDeleted","value":"true"}</t>
  </si>
  <si>
    <t>Delete</t>
  </si>
  <si>
    <t>Belfast</t>
  </si>
  <si>
    <t>Murray Harbrour</t>
  </si>
  <si>
    <t>Murray Harbour</t>
  </si>
  <si>
    <t>Tignish</t>
  </si>
  <si>
    <t>O'Leary</t>
  </si>
  <si>
    <t>Ellerslie</t>
  </si>
  <si>
    <t xml:space="preserve"> Ellerslie</t>
  </si>
  <si>
    <t>North Rustico</t>
  </si>
  <si>
    <t>Prince Edward Island Baseball Umpires Association - Mileage Chart</t>
  </si>
  <si>
    <t>Effective for the 2026 Season - Rate $0.45 per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</si>
</sst>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7D6E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3" borderId="1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9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3" xfId="0" applyBorder="1" applyAlignment="1">
      <alignment horizontal="center" textRotation="90"/>
    </xf>
    <xf numFmtId="0" fontId="0" fillId="0" borderId="0" xfId="0" applyAlignment="1">
      <alignment textRotation="90"/>
    </xf>
    <xf numFmtId="0" fontId="0" fillId="0" borderId="4" xfId="0" applyBorder="1" applyAlignment="1">
      <alignment horizontal="center" textRotation="90"/>
    </xf>
    <xf numFmtId="0" fontId="0" fillId="0" borderId="1" xfId="0" applyBorder="1"/>
    <xf numFmtId="0" fontId="0" fillId="0" borderId="11" xfId="0" applyBorder="1" applyAlignment="1">
      <alignment horizontal="center" textRotation="90"/>
    </xf>
    <xf numFmtId="2" fontId="0" fillId="0" borderId="12" xfId="0" applyNumberFormat="1" applyBorder="1" applyAlignment="1">
      <alignment horizontal="center"/>
    </xf>
    <xf numFmtId="0" fontId="0" fillId="2" borderId="12" xfId="0" applyFill="1" applyBorder="1"/>
    <xf numFmtId="2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2" fontId="0" fillId="0" borderId="15" xfId="0" applyNumberFormat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2" fontId="0" fillId="0" borderId="17" xfId="0" applyNumberFormat="1" applyBorder="1" applyAlignment="1">
      <alignment horizontal="center"/>
    </xf>
    <xf numFmtId="0" fontId="0" fillId="0" borderId="15" xfId="0" applyBorder="1"/>
    <xf numFmtId="0" fontId="0" fillId="0" borderId="12" xfId="0" applyBorder="1"/>
    <xf numFmtId="1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Table Snip" xfId="1" xr:uid="{8A1706B8-EA71-4ABF-BE8F-B3C683006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BC42-4C93-4704-B2DD-A201760C101A}">
  <dimension ref="A3:O40"/>
  <sheetViews>
    <sheetView topLeftCell="A4" workbookViewId="0">
      <selection activeCell="N34" sqref="N34"/>
    </sheetView>
  </sheetViews>
  <sheetFormatPr defaultRowHeight="15" x14ac:dyDescent="0.25"/>
  <cols>
    <col min="1" max="1" width="16.28515625" customWidth="1"/>
    <col min="2" max="2" width="10.7109375" bestFit="1" customWidth="1"/>
    <col min="3" max="3" width="10.7109375" customWidth="1"/>
    <col min="4" max="4" width="13.42578125" bestFit="1" customWidth="1"/>
    <col min="5" max="5" width="8.85546875" bestFit="1" customWidth="1"/>
    <col min="6" max="6" width="10.85546875" bestFit="1" customWidth="1"/>
    <col min="7" max="7" width="9.7109375" bestFit="1" customWidth="1"/>
    <col min="8" max="8" width="11.28515625" bestFit="1" customWidth="1"/>
    <col min="9" max="9" width="10.7109375" bestFit="1" customWidth="1"/>
    <col min="10" max="10" width="6.5703125" bestFit="1" customWidth="1"/>
    <col min="11" max="11" width="8.5703125" bestFit="1" customWidth="1"/>
    <col min="12" max="12" width="12" bestFit="1" customWidth="1"/>
    <col min="13" max="13" width="15" bestFit="1" customWidth="1"/>
    <col min="14" max="14" width="11.5703125" bestFit="1" customWidth="1"/>
  </cols>
  <sheetData>
    <row r="3" spans="1:15" ht="15.75" thickBot="1" x14ac:dyDescent="0.3"/>
    <row r="4" spans="1:15" ht="82.5" x14ac:dyDescent="0.25">
      <c r="A4" s="6"/>
      <c r="B4" s="19" t="str">
        <f>$A$5</f>
        <v>Bedeque</v>
      </c>
      <c r="C4" s="19" t="s">
        <v>39</v>
      </c>
      <c r="D4" s="19" t="str">
        <f>$A$7</f>
        <v>Charlottetown</v>
      </c>
      <c r="E4" s="19" t="str">
        <f>$A$8</f>
        <v>Cornwall</v>
      </c>
      <c r="F4" s="19" t="str">
        <f>$A$9</f>
        <v>Kensington</v>
      </c>
      <c r="G4" s="19" t="str">
        <f>$A$10</f>
        <v>Northside</v>
      </c>
      <c r="H4" s="19" t="str">
        <f>$A$11</f>
        <v>West Prince</v>
      </c>
      <c r="I4" s="19" t="str">
        <f>$A$12</f>
        <v>East Prince</v>
      </c>
      <c r="J4" s="19" t="str">
        <f>$A$13</f>
        <v>Souris</v>
      </c>
      <c r="K4" s="19" t="str">
        <f>$A$14</f>
        <v>Stratford</v>
      </c>
      <c r="L4" s="19" t="str">
        <f>$A$15</f>
        <v>Summerside</v>
      </c>
      <c r="M4" s="23" t="s">
        <v>40</v>
      </c>
      <c r="N4" s="21" t="str">
        <f>$A$17</f>
        <v>Three Rivers</v>
      </c>
      <c r="O4" s="20"/>
    </row>
    <row r="5" spans="1:15" x14ac:dyDescent="0.25">
      <c r="A5" s="3" t="s">
        <v>0</v>
      </c>
      <c r="B5" s="2"/>
      <c r="C5" s="22"/>
      <c r="D5" s="16">
        <f t="shared" ref="D5:N5" si="0">MROUND(D24*0.45,1)</f>
        <v>46</v>
      </c>
      <c r="E5" s="16">
        <f t="shared" si="0"/>
        <v>42</v>
      </c>
      <c r="F5" s="16">
        <f t="shared" si="0"/>
        <v>15</v>
      </c>
      <c r="G5" s="16">
        <f t="shared" si="0"/>
        <v>81</v>
      </c>
      <c r="H5" s="16">
        <f t="shared" si="0"/>
        <v>70</v>
      </c>
      <c r="I5" s="16">
        <f t="shared" si="0"/>
        <v>39</v>
      </c>
      <c r="J5" s="16">
        <f t="shared" si="0"/>
        <v>116</v>
      </c>
      <c r="K5" s="16">
        <f t="shared" si="0"/>
        <v>54</v>
      </c>
      <c r="L5" s="16">
        <f t="shared" si="0"/>
        <v>13</v>
      </c>
      <c r="M5" s="24"/>
      <c r="N5" s="18">
        <f t="shared" si="0"/>
        <v>89</v>
      </c>
    </row>
    <row r="6" spans="1:15" x14ac:dyDescent="0.25">
      <c r="A6" s="3" t="s">
        <v>39</v>
      </c>
      <c r="B6" s="22"/>
      <c r="C6" s="2"/>
      <c r="D6" s="16"/>
      <c r="E6" s="16"/>
      <c r="F6" s="16"/>
      <c r="G6" s="16"/>
      <c r="H6" s="16"/>
      <c r="I6" s="16"/>
      <c r="J6" s="16"/>
      <c r="K6" s="16"/>
      <c r="L6" s="16"/>
      <c r="M6" s="24"/>
      <c r="N6" s="18"/>
    </row>
    <row r="7" spans="1:15" x14ac:dyDescent="0.25">
      <c r="A7" s="3" t="s">
        <v>1</v>
      </c>
      <c r="B7" s="16">
        <f>MROUND(B26*0.45,1)</f>
        <v>46</v>
      </c>
      <c r="C7" s="16"/>
      <c r="D7" s="2"/>
      <c r="E7" s="16">
        <f>MROUND(E26*0.45,1)</f>
        <v>10</v>
      </c>
      <c r="F7" s="16">
        <f t="shared" ref="F7:N8" si="1">MROUND(F26*0.45,1)</f>
        <v>43</v>
      </c>
      <c r="G7" s="16">
        <f t="shared" si="1"/>
        <v>38</v>
      </c>
      <c r="H7" s="16">
        <f t="shared" si="1"/>
        <v>112</v>
      </c>
      <c r="I7" s="16">
        <f t="shared" si="1"/>
        <v>80</v>
      </c>
      <c r="J7" s="16">
        <f t="shared" si="1"/>
        <v>70</v>
      </c>
      <c r="K7" s="16">
        <f t="shared" si="1"/>
        <v>5</v>
      </c>
      <c r="L7" s="16">
        <f t="shared" si="1"/>
        <v>54</v>
      </c>
      <c r="M7" s="24"/>
      <c r="N7" s="18">
        <f t="shared" si="1"/>
        <v>43</v>
      </c>
    </row>
    <row r="8" spans="1:15" x14ac:dyDescent="0.25">
      <c r="A8" s="3" t="s">
        <v>2</v>
      </c>
      <c r="B8" s="16">
        <f>MROUND(B27*0.45,1)</f>
        <v>42</v>
      </c>
      <c r="C8" s="16"/>
      <c r="D8" s="16">
        <f>MROUND(D27*0.45,1)</f>
        <v>10</v>
      </c>
      <c r="E8" s="2"/>
      <c r="F8" s="16">
        <f t="shared" si="1"/>
        <v>42</v>
      </c>
      <c r="G8" s="16">
        <f t="shared" si="1"/>
        <v>46</v>
      </c>
      <c r="H8" s="16">
        <f t="shared" si="1"/>
        <v>109</v>
      </c>
      <c r="I8" s="16">
        <f t="shared" si="1"/>
        <v>77</v>
      </c>
      <c r="J8" s="16">
        <f t="shared" si="1"/>
        <v>81</v>
      </c>
      <c r="K8" s="16">
        <f t="shared" si="1"/>
        <v>18</v>
      </c>
      <c r="L8" s="16">
        <f t="shared" si="1"/>
        <v>51</v>
      </c>
      <c r="M8" s="24"/>
      <c r="N8" s="18">
        <f t="shared" si="1"/>
        <v>56</v>
      </c>
    </row>
    <row r="9" spans="1:15" x14ac:dyDescent="0.25">
      <c r="A9" s="3" t="s">
        <v>3</v>
      </c>
      <c r="B9" s="16">
        <f>MROUND(B28*0.45,1)</f>
        <v>15</v>
      </c>
      <c r="C9" s="16"/>
      <c r="D9" s="16">
        <f>MROUND(D28*0.45,1)</f>
        <v>43</v>
      </c>
      <c r="E9" s="16">
        <f>MROUND(E28*0.45,1)</f>
        <v>42</v>
      </c>
      <c r="F9" s="2"/>
      <c r="G9" s="16">
        <f t="shared" ref="G9:N9" si="2">MROUND(G28*0.45,1)</f>
        <v>78</v>
      </c>
      <c r="H9" s="16">
        <f t="shared" si="2"/>
        <v>68</v>
      </c>
      <c r="I9" s="16">
        <f t="shared" si="2"/>
        <v>36</v>
      </c>
      <c r="J9" s="16">
        <f t="shared" si="2"/>
        <v>116</v>
      </c>
      <c r="K9" s="16">
        <f t="shared" si="2"/>
        <v>48</v>
      </c>
      <c r="L9" s="16">
        <f t="shared" si="2"/>
        <v>14</v>
      </c>
      <c r="M9" s="24"/>
      <c r="N9" s="18">
        <f t="shared" si="2"/>
        <v>85</v>
      </c>
    </row>
    <row r="10" spans="1:15" x14ac:dyDescent="0.25">
      <c r="A10" s="3" t="s">
        <v>4</v>
      </c>
      <c r="B10" s="16">
        <f t="shared" ref="B10:B15" si="3">MROUND(B29*0.45,1)</f>
        <v>81</v>
      </c>
      <c r="C10" s="16"/>
      <c r="D10" s="16">
        <f t="shared" ref="D10:D15" si="4">MROUND(D29*0.45,1)</f>
        <v>35</v>
      </c>
      <c r="E10" s="16">
        <f t="shared" ref="E10:E15" si="5">MROUND(E29*0.45,1)</f>
        <v>46</v>
      </c>
      <c r="F10" s="16">
        <f t="shared" ref="F10:F15" si="6">MROUND(F29*0.45,1)</f>
        <v>78</v>
      </c>
      <c r="G10" s="2"/>
      <c r="H10" s="16">
        <f t="shared" ref="H10:N10" si="7">MROUND(H29*0.45,1)</f>
        <v>148</v>
      </c>
      <c r="I10" s="16">
        <f t="shared" si="7"/>
        <v>113</v>
      </c>
      <c r="J10" s="16">
        <f t="shared" si="7"/>
        <v>32</v>
      </c>
      <c r="K10" s="16">
        <f t="shared" si="7"/>
        <v>41</v>
      </c>
      <c r="L10" s="16">
        <f t="shared" si="7"/>
        <v>88</v>
      </c>
      <c r="M10" s="24"/>
      <c r="N10" s="18">
        <f t="shared" si="7"/>
        <v>22</v>
      </c>
    </row>
    <row r="11" spans="1:15" x14ac:dyDescent="0.25">
      <c r="A11" s="3" t="s">
        <v>9</v>
      </c>
      <c r="B11" s="16">
        <f t="shared" si="3"/>
        <v>70</v>
      </c>
      <c r="C11" s="16"/>
      <c r="D11" s="16">
        <f t="shared" si="4"/>
        <v>122</v>
      </c>
      <c r="E11" s="16">
        <f t="shared" si="5"/>
        <v>109</v>
      </c>
      <c r="F11" s="16">
        <f t="shared" si="6"/>
        <v>68</v>
      </c>
      <c r="G11" s="16">
        <f>MROUND(G30*0.45,1)</f>
        <v>148</v>
      </c>
      <c r="H11" s="2"/>
      <c r="I11" s="16">
        <f t="shared" ref="I11:N11" si="8">MROUND(I30*0.45,1)</f>
        <v>37</v>
      </c>
      <c r="J11" s="16">
        <f t="shared" si="8"/>
        <v>183</v>
      </c>
      <c r="K11" s="16">
        <f t="shared" si="8"/>
        <v>115</v>
      </c>
      <c r="L11" s="16">
        <f t="shared" si="8"/>
        <v>59</v>
      </c>
      <c r="M11" s="24"/>
      <c r="N11" s="18">
        <f t="shared" si="8"/>
        <v>152</v>
      </c>
    </row>
    <row r="12" spans="1:15" x14ac:dyDescent="0.25">
      <c r="A12" s="3" t="s">
        <v>10</v>
      </c>
      <c r="B12" s="16">
        <f t="shared" si="3"/>
        <v>39</v>
      </c>
      <c r="C12" s="16"/>
      <c r="D12" s="16">
        <f t="shared" si="4"/>
        <v>80</v>
      </c>
      <c r="E12" s="16">
        <f t="shared" si="5"/>
        <v>77</v>
      </c>
      <c r="F12" s="16">
        <f t="shared" si="6"/>
        <v>36</v>
      </c>
      <c r="G12" s="16">
        <f>MROUND(G31*0.45,1)</f>
        <v>113</v>
      </c>
      <c r="H12" s="16">
        <f>MROUND(H31*0.45,1)</f>
        <v>37</v>
      </c>
      <c r="I12" s="2"/>
      <c r="J12" s="16">
        <f t="shared" ref="J12:N12" si="9">MROUND(J31*0.45,1)</f>
        <v>148</v>
      </c>
      <c r="K12" s="16">
        <f t="shared" si="9"/>
        <v>86</v>
      </c>
      <c r="L12" s="16">
        <f t="shared" si="9"/>
        <v>29</v>
      </c>
      <c r="M12" s="24"/>
      <c r="N12" s="18">
        <f t="shared" si="9"/>
        <v>121</v>
      </c>
    </row>
    <row r="13" spans="1:15" x14ac:dyDescent="0.25">
      <c r="A13" s="3" t="s">
        <v>5</v>
      </c>
      <c r="B13" s="16">
        <f t="shared" si="3"/>
        <v>116</v>
      </c>
      <c r="C13" s="16"/>
      <c r="D13" s="16">
        <f t="shared" si="4"/>
        <v>73</v>
      </c>
      <c r="E13" s="16">
        <f t="shared" si="5"/>
        <v>81</v>
      </c>
      <c r="F13" s="16">
        <f t="shared" si="6"/>
        <v>116</v>
      </c>
      <c r="G13" s="16">
        <f>MROUND(G32*0.45,1)</f>
        <v>32</v>
      </c>
      <c r="H13" s="16">
        <f>MROUND(H32*0.45,1)</f>
        <v>183</v>
      </c>
      <c r="I13" s="16">
        <f>MROUND(I32*0.45,1)</f>
        <v>148</v>
      </c>
      <c r="J13" s="2"/>
      <c r="K13" s="16">
        <f t="shared" ref="K13:N13" si="10">MROUND(K32*0.45,1)</f>
        <v>66</v>
      </c>
      <c r="L13" s="16">
        <f t="shared" si="10"/>
        <v>123</v>
      </c>
      <c r="M13" s="24"/>
      <c r="N13" s="18">
        <f t="shared" si="10"/>
        <v>32</v>
      </c>
    </row>
    <row r="14" spans="1:15" x14ac:dyDescent="0.25">
      <c r="A14" s="3" t="s">
        <v>6</v>
      </c>
      <c r="B14" s="16">
        <f t="shared" si="3"/>
        <v>54</v>
      </c>
      <c r="C14" s="16"/>
      <c r="D14" s="16">
        <f t="shared" si="4"/>
        <v>6</v>
      </c>
      <c r="E14" s="16">
        <f t="shared" si="5"/>
        <v>18</v>
      </c>
      <c r="F14" s="16">
        <f t="shared" si="6"/>
        <v>48</v>
      </c>
      <c r="G14" s="16">
        <f>MROUND(G33*0.45,1)</f>
        <v>41</v>
      </c>
      <c r="H14" s="16">
        <f>MROUND(H33*0.45,1)</f>
        <v>115</v>
      </c>
      <c r="I14" s="16">
        <f>MROUND(I33*0.45,1)</f>
        <v>86</v>
      </c>
      <c r="J14" s="16">
        <f>MROUND(J33*0.45,1)</f>
        <v>66</v>
      </c>
      <c r="K14" s="2"/>
      <c r="L14" s="16">
        <f t="shared" ref="L14:N14" si="11">MROUND(L33*0.45,1)</f>
        <v>62</v>
      </c>
      <c r="M14" s="24"/>
      <c r="N14" s="18">
        <f t="shared" si="11"/>
        <v>38</v>
      </c>
    </row>
    <row r="15" spans="1:15" x14ac:dyDescent="0.25">
      <c r="A15" s="3" t="s">
        <v>7</v>
      </c>
      <c r="B15" s="16">
        <f t="shared" si="3"/>
        <v>13</v>
      </c>
      <c r="C15" s="16"/>
      <c r="D15" s="16">
        <f t="shared" si="4"/>
        <v>54</v>
      </c>
      <c r="E15" s="16">
        <f t="shared" si="5"/>
        <v>51</v>
      </c>
      <c r="F15" s="16">
        <f t="shared" si="6"/>
        <v>14</v>
      </c>
      <c r="G15" s="16">
        <f>MROUND(G34*0.45,1)</f>
        <v>88</v>
      </c>
      <c r="H15" s="16">
        <f>MROUND(H34*0.45,1)</f>
        <v>59</v>
      </c>
      <c r="I15" s="16">
        <f>MROUND(I34*0.45,1)</f>
        <v>29</v>
      </c>
      <c r="J15" s="16">
        <f>MROUND(J34*0.45,1)</f>
        <v>123</v>
      </c>
      <c r="K15" s="16">
        <f>MROUND(K34*0.45,1)</f>
        <v>62</v>
      </c>
      <c r="L15" s="2"/>
      <c r="M15" s="37"/>
      <c r="N15" s="18">
        <f t="shared" ref="N15" si="12">MROUND(N34*0.45,1)</f>
        <v>98</v>
      </c>
    </row>
    <row r="16" spans="1:15" x14ac:dyDescent="0.25">
      <c r="A16" s="31" t="s">
        <v>41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6"/>
      <c r="M16" s="34"/>
      <c r="N16" s="35"/>
    </row>
    <row r="17" spans="1:14" ht="15.75" thickBot="1" x14ac:dyDescent="0.3">
      <c r="A17" s="4" t="s">
        <v>8</v>
      </c>
      <c r="B17" s="17">
        <f t="shared" ref="B17:J17" si="13">MROUND(B36*0.45,1)</f>
        <v>89</v>
      </c>
      <c r="C17" s="17"/>
      <c r="D17" s="17">
        <f t="shared" si="13"/>
        <v>43</v>
      </c>
      <c r="E17" s="17">
        <f t="shared" si="13"/>
        <v>56</v>
      </c>
      <c r="F17" s="17">
        <f t="shared" si="13"/>
        <v>85</v>
      </c>
      <c r="G17" s="17">
        <f t="shared" si="13"/>
        <v>22</v>
      </c>
      <c r="H17" s="17">
        <f t="shared" si="13"/>
        <v>152</v>
      </c>
      <c r="I17" s="17">
        <f t="shared" si="13"/>
        <v>121</v>
      </c>
      <c r="J17" s="17">
        <f t="shared" si="13"/>
        <v>32</v>
      </c>
      <c r="K17" s="17">
        <f>MROUND(K36*0.45,1)</f>
        <v>38</v>
      </c>
      <c r="L17" s="17">
        <f>MROUND(L36*0.45,1)</f>
        <v>98</v>
      </c>
      <c r="M17" s="26"/>
      <c r="N17" s="5"/>
    </row>
    <row r="18" spans="1:14" x14ac:dyDescent="0.25">
      <c r="A18" s="1"/>
    </row>
    <row r="19" spans="1:14" x14ac:dyDescent="0.25">
      <c r="A19" s="9" t="s">
        <v>11</v>
      </c>
    </row>
    <row r="20" spans="1:14" x14ac:dyDescent="0.25">
      <c r="A20" s="9" t="s">
        <v>12</v>
      </c>
    </row>
    <row r="22" spans="1:14" ht="15.75" thickBot="1" x14ac:dyDescent="0.3"/>
    <row r="23" spans="1:14" x14ac:dyDescent="0.25">
      <c r="A23" s="6"/>
      <c r="B23" s="7" t="str">
        <f>$A$5</f>
        <v>Bedeque</v>
      </c>
      <c r="C23" s="7" t="s">
        <v>39</v>
      </c>
      <c r="D23" s="7" t="str">
        <f>$A$7</f>
        <v>Charlottetown</v>
      </c>
      <c r="E23" s="7" t="str">
        <f>$A$8</f>
        <v>Cornwall</v>
      </c>
      <c r="F23" s="7" t="str">
        <f>$A$9</f>
        <v>Kensington</v>
      </c>
      <c r="G23" s="7" t="str">
        <f>$A$10</f>
        <v>Northside</v>
      </c>
      <c r="H23" s="7" t="str">
        <f>$A$11</f>
        <v>West Prince</v>
      </c>
      <c r="I23" s="7" t="str">
        <f>$A$12</f>
        <v>East Prince</v>
      </c>
      <c r="J23" s="7" t="str">
        <f>$A$13</f>
        <v>Souris</v>
      </c>
      <c r="K23" s="7" t="str">
        <f>$A$14</f>
        <v>Stratford</v>
      </c>
      <c r="L23" s="7" t="str">
        <f>$A$15</f>
        <v>Summerside</v>
      </c>
      <c r="M23" s="27" t="s">
        <v>41</v>
      </c>
      <c r="N23" s="8" t="str">
        <f>$A$17</f>
        <v>Three Rivers</v>
      </c>
    </row>
    <row r="24" spans="1:14" x14ac:dyDescent="0.25">
      <c r="A24" s="3" t="s">
        <v>0</v>
      </c>
      <c r="B24" s="2"/>
      <c r="C24" s="22"/>
      <c r="D24" s="10">
        <f>51.5*2</f>
        <v>103</v>
      </c>
      <c r="E24" s="11">
        <f>46.4*2</f>
        <v>92.8</v>
      </c>
      <c r="F24" s="11">
        <f>17.2*2</f>
        <v>34.4</v>
      </c>
      <c r="G24" s="11">
        <f>90.3*2</f>
        <v>180.6</v>
      </c>
      <c r="H24" s="11">
        <f>78.3*2</f>
        <v>156.6</v>
      </c>
      <c r="I24" s="11">
        <f>43.3*2</f>
        <v>86.6</v>
      </c>
      <c r="J24" s="11">
        <f>129*2</f>
        <v>258</v>
      </c>
      <c r="K24" s="10">
        <f>60*2</f>
        <v>120</v>
      </c>
      <c r="L24" s="10">
        <f>14*2</f>
        <v>28</v>
      </c>
      <c r="M24" s="28"/>
      <c r="N24" s="12">
        <f>98.6*2</f>
        <v>197.2</v>
      </c>
    </row>
    <row r="25" spans="1:14" x14ac:dyDescent="0.25">
      <c r="A25" s="3" t="s">
        <v>39</v>
      </c>
      <c r="B25" s="22"/>
      <c r="C25" s="2"/>
      <c r="D25" s="10"/>
      <c r="E25" s="11"/>
      <c r="F25" s="11"/>
      <c r="G25" s="11"/>
      <c r="H25" s="11"/>
      <c r="I25" s="11"/>
      <c r="J25" s="11"/>
      <c r="K25" s="10"/>
      <c r="L25" s="10"/>
      <c r="M25" s="28"/>
      <c r="N25" s="12"/>
    </row>
    <row r="26" spans="1:14" x14ac:dyDescent="0.25">
      <c r="A26" s="3" t="s">
        <v>1</v>
      </c>
      <c r="B26" s="10">
        <f>D24</f>
        <v>103</v>
      </c>
      <c r="C26" s="10"/>
      <c r="D26" s="2"/>
      <c r="E26" s="10">
        <f>D27</f>
        <v>22</v>
      </c>
      <c r="F26" s="11">
        <f>47.9*2</f>
        <v>95.8</v>
      </c>
      <c r="G26" s="10">
        <f>42*2</f>
        <v>84</v>
      </c>
      <c r="H26" s="10">
        <f>124*2</f>
        <v>248</v>
      </c>
      <c r="I26" s="11">
        <f>88.5*2</f>
        <v>177</v>
      </c>
      <c r="J26" s="10">
        <f>78*2</f>
        <v>156</v>
      </c>
      <c r="K26" s="10">
        <f>5.5*2</f>
        <v>11</v>
      </c>
      <c r="L26" s="10">
        <f>D34</f>
        <v>120.99999999999999</v>
      </c>
      <c r="M26" s="28"/>
      <c r="N26" s="15">
        <f>D36</f>
        <v>95.999999999999986</v>
      </c>
    </row>
    <row r="27" spans="1:14" x14ac:dyDescent="0.25">
      <c r="A27" s="3" t="s">
        <v>2</v>
      </c>
      <c r="B27" s="11">
        <f>E24</f>
        <v>92.8</v>
      </c>
      <c r="C27" s="11"/>
      <c r="D27" s="10">
        <f>11*2</f>
        <v>22</v>
      </c>
      <c r="E27" s="2"/>
      <c r="F27" s="10">
        <f>E28</f>
        <v>94</v>
      </c>
      <c r="G27" s="10">
        <f>E29</f>
        <v>102</v>
      </c>
      <c r="H27" s="10">
        <f>E30</f>
        <v>241.99999999999997</v>
      </c>
      <c r="I27" s="11">
        <f>85.9*2</f>
        <v>171.8</v>
      </c>
      <c r="J27" s="10">
        <f>E32</f>
        <v>179.99999999999997</v>
      </c>
      <c r="K27" s="10">
        <f>E33</f>
        <v>41</v>
      </c>
      <c r="L27" s="10">
        <f>E34</f>
        <v>114</v>
      </c>
      <c r="M27" s="28"/>
      <c r="N27" s="15">
        <f>E36</f>
        <v>124</v>
      </c>
    </row>
    <row r="28" spans="1:14" x14ac:dyDescent="0.25">
      <c r="A28" s="3" t="s">
        <v>3</v>
      </c>
      <c r="B28" s="11">
        <f>F24</f>
        <v>34.4</v>
      </c>
      <c r="C28" s="11"/>
      <c r="D28" s="10">
        <f>52.8/0.55</f>
        <v>95.999999999999986</v>
      </c>
      <c r="E28" s="10">
        <f>51.7/0.55</f>
        <v>94</v>
      </c>
      <c r="F28" s="2"/>
      <c r="G28" s="10">
        <f>F29</f>
        <v>174</v>
      </c>
      <c r="H28" s="10">
        <f>F30</f>
        <v>150</v>
      </c>
      <c r="I28" s="11">
        <f>40.1*2</f>
        <v>80.2</v>
      </c>
      <c r="J28" s="10">
        <f>F32</f>
        <v>258</v>
      </c>
      <c r="K28" s="10">
        <f>F33</f>
        <v>105.99999999999999</v>
      </c>
      <c r="L28" s="10">
        <f>F34</f>
        <v>31</v>
      </c>
      <c r="M28" s="28"/>
      <c r="N28" s="15">
        <f>F36</f>
        <v>188</v>
      </c>
    </row>
    <row r="29" spans="1:14" x14ac:dyDescent="0.25">
      <c r="A29" s="3" t="s">
        <v>4</v>
      </c>
      <c r="B29" s="11">
        <f>G24</f>
        <v>180.6</v>
      </c>
      <c r="C29" s="11"/>
      <c r="D29" s="10">
        <f>42.9/0.55</f>
        <v>77.999999999999986</v>
      </c>
      <c r="E29" s="10">
        <f>56.1/0.55</f>
        <v>102</v>
      </c>
      <c r="F29" s="10">
        <f>95.7/0.55</f>
        <v>174</v>
      </c>
      <c r="G29" s="2"/>
      <c r="H29" s="10">
        <f>G30</f>
        <v>328</v>
      </c>
      <c r="I29" s="11">
        <f>125*2</f>
        <v>250</v>
      </c>
      <c r="J29" s="10">
        <f>G32</f>
        <v>72</v>
      </c>
      <c r="K29" s="10">
        <f>G33</f>
        <v>92</v>
      </c>
      <c r="L29" s="10">
        <f>G34</f>
        <v>195.99999999999997</v>
      </c>
      <c r="M29" s="28"/>
      <c r="N29" s="15">
        <f>G36</f>
        <v>47.999999999999993</v>
      </c>
    </row>
    <row r="30" spans="1:14" x14ac:dyDescent="0.25">
      <c r="A30" s="3" t="s">
        <v>9</v>
      </c>
      <c r="B30" s="11">
        <f>H24</f>
        <v>156.6</v>
      </c>
      <c r="C30" s="11"/>
      <c r="D30" s="10">
        <f>149.6/0.55</f>
        <v>271.99999999999994</v>
      </c>
      <c r="E30" s="10">
        <f>133.1/0.55</f>
        <v>241.99999999999997</v>
      </c>
      <c r="F30" s="10">
        <f>82.5/0.55</f>
        <v>150</v>
      </c>
      <c r="G30" s="10">
        <f>180.4/0.55</f>
        <v>328</v>
      </c>
      <c r="H30" s="2"/>
      <c r="I30" s="11">
        <f>41.4*2</f>
        <v>82.8</v>
      </c>
      <c r="J30" s="10">
        <f>H32</f>
        <v>406</v>
      </c>
      <c r="K30" s="10">
        <f>H33</f>
        <v>256</v>
      </c>
      <c r="L30" s="10">
        <f>H34</f>
        <v>130.99999999999997</v>
      </c>
      <c r="M30" s="28"/>
      <c r="N30" s="15">
        <f>H36</f>
        <v>338</v>
      </c>
    </row>
    <row r="31" spans="1:14" x14ac:dyDescent="0.25">
      <c r="A31" s="3" t="s">
        <v>10</v>
      </c>
      <c r="B31" s="11">
        <f>I24</f>
        <v>86.6</v>
      </c>
      <c r="C31" s="11"/>
      <c r="D31" s="11">
        <f>I26</f>
        <v>177</v>
      </c>
      <c r="E31" s="11">
        <f>I27</f>
        <v>171.8</v>
      </c>
      <c r="F31" s="11">
        <f>I28</f>
        <v>80.2</v>
      </c>
      <c r="G31" s="11">
        <f>I29</f>
        <v>250</v>
      </c>
      <c r="H31" s="11">
        <f>I30</f>
        <v>82.8</v>
      </c>
      <c r="I31" s="2"/>
      <c r="J31" s="10">
        <f>I32</f>
        <v>328</v>
      </c>
      <c r="K31" s="11">
        <f>I33</f>
        <v>190.2</v>
      </c>
      <c r="L31" s="11">
        <f>I34</f>
        <v>63.4</v>
      </c>
      <c r="M31" s="29"/>
      <c r="N31" s="15">
        <f>I36</f>
        <v>268</v>
      </c>
    </row>
    <row r="32" spans="1:14" x14ac:dyDescent="0.25">
      <c r="A32" s="3" t="s">
        <v>5</v>
      </c>
      <c r="B32" s="11">
        <f>J24</f>
        <v>258</v>
      </c>
      <c r="C32" s="11"/>
      <c r="D32" s="10">
        <f>89.1/0.55</f>
        <v>161.99999999999997</v>
      </c>
      <c r="E32" s="10">
        <f>99/0.55</f>
        <v>179.99999999999997</v>
      </c>
      <c r="F32" s="10">
        <f>141.9/0.55</f>
        <v>258</v>
      </c>
      <c r="G32" s="10">
        <f>39.6/0.55</f>
        <v>72</v>
      </c>
      <c r="H32" s="10">
        <f>223.3/0.55</f>
        <v>406</v>
      </c>
      <c r="I32" s="10">
        <f>164*2</f>
        <v>328</v>
      </c>
      <c r="J32" s="2"/>
      <c r="K32" s="10">
        <f>J33</f>
        <v>145.99999999999997</v>
      </c>
      <c r="L32" s="10">
        <f>J34</f>
        <v>273.99999999999994</v>
      </c>
      <c r="M32" s="28"/>
      <c r="N32" s="15">
        <f>J36</f>
        <v>72</v>
      </c>
    </row>
    <row r="33" spans="1:14" x14ac:dyDescent="0.25">
      <c r="A33" s="3" t="s">
        <v>6</v>
      </c>
      <c r="B33" s="11">
        <f>K24</f>
        <v>120</v>
      </c>
      <c r="C33" s="11"/>
      <c r="D33" s="10">
        <f>7.7/0.55</f>
        <v>14</v>
      </c>
      <c r="E33" s="10">
        <f>22.55/0.55</f>
        <v>41</v>
      </c>
      <c r="F33" s="10">
        <f>58.3/0.55</f>
        <v>105.99999999999999</v>
      </c>
      <c r="G33" s="10">
        <f>50.6/0.55</f>
        <v>92</v>
      </c>
      <c r="H33" s="10">
        <f>140.8/0.55</f>
        <v>256</v>
      </c>
      <c r="I33" s="11">
        <f>95.1*2</f>
        <v>190.2</v>
      </c>
      <c r="J33" s="10">
        <f>80.3/0.55</f>
        <v>145.99999999999997</v>
      </c>
      <c r="K33" s="2"/>
      <c r="L33" s="10">
        <f>K34</f>
        <v>138</v>
      </c>
      <c r="M33" s="28"/>
      <c r="N33" s="15">
        <f>K36</f>
        <v>84</v>
      </c>
    </row>
    <row r="34" spans="1:14" x14ac:dyDescent="0.25">
      <c r="A34" s="3" t="s">
        <v>7</v>
      </c>
      <c r="B34" s="11">
        <f>L24</f>
        <v>28</v>
      </c>
      <c r="C34" s="11"/>
      <c r="D34" s="10">
        <f>66.55/0.55</f>
        <v>120.99999999999999</v>
      </c>
      <c r="E34" s="10">
        <f>62.7/0.55</f>
        <v>114</v>
      </c>
      <c r="F34" s="10">
        <f>17.05/0.55</f>
        <v>31</v>
      </c>
      <c r="G34" s="10">
        <f>107.8/0.55</f>
        <v>195.99999999999997</v>
      </c>
      <c r="H34" s="10">
        <f>72.05/0.55</f>
        <v>130.99999999999997</v>
      </c>
      <c r="I34" s="11">
        <f>31.7*2</f>
        <v>63.4</v>
      </c>
      <c r="J34" s="10">
        <f>150.7/0.55</f>
        <v>273.99999999999994</v>
      </c>
      <c r="K34" s="10">
        <f>75.9/0.55</f>
        <v>138</v>
      </c>
      <c r="L34" s="2"/>
      <c r="M34" s="25"/>
      <c r="N34" s="15">
        <f>L36</f>
        <v>218</v>
      </c>
    </row>
    <row r="35" spans="1:14" x14ac:dyDescent="0.25">
      <c r="A35" s="31" t="s">
        <v>41</v>
      </c>
      <c r="B35" s="38"/>
      <c r="C35" s="38"/>
      <c r="D35" s="39"/>
      <c r="E35" s="39"/>
      <c r="F35" s="39"/>
      <c r="G35" s="39"/>
      <c r="H35" s="39"/>
      <c r="I35" s="38"/>
      <c r="J35" s="39"/>
      <c r="K35" s="39"/>
      <c r="L35" s="33"/>
      <c r="M35" s="34"/>
      <c r="N35" s="40"/>
    </row>
    <row r="36" spans="1:14" ht="15.75" thickBot="1" x14ac:dyDescent="0.3">
      <c r="A36" s="4" t="s">
        <v>8</v>
      </c>
      <c r="B36" s="13">
        <f>N24</f>
        <v>197.2</v>
      </c>
      <c r="C36" s="13"/>
      <c r="D36" s="14">
        <f>52.8/0.55</f>
        <v>95.999999999999986</v>
      </c>
      <c r="E36" s="14">
        <f>68.2/0.55</f>
        <v>124</v>
      </c>
      <c r="F36" s="14">
        <f>103.4/0.55</f>
        <v>188</v>
      </c>
      <c r="G36" s="14">
        <f>26.4/0.55</f>
        <v>47.999999999999993</v>
      </c>
      <c r="H36" s="14">
        <f>185.9/0.55</f>
        <v>338</v>
      </c>
      <c r="I36" s="14">
        <f>134*2</f>
        <v>268</v>
      </c>
      <c r="J36" s="14">
        <f>39.6/0.55</f>
        <v>72</v>
      </c>
      <c r="K36" s="14">
        <f>46.2/0.55</f>
        <v>84</v>
      </c>
      <c r="L36" s="14">
        <f>119.9/0.55</f>
        <v>218</v>
      </c>
      <c r="M36" s="30"/>
      <c r="N36" s="5"/>
    </row>
    <row r="38" spans="1:14" x14ac:dyDescent="0.25">
      <c r="A38" s="1" t="s">
        <v>9</v>
      </c>
      <c r="B38" t="s">
        <v>13</v>
      </c>
    </row>
    <row r="39" spans="1:14" x14ac:dyDescent="0.25">
      <c r="A39" s="1" t="s">
        <v>4</v>
      </c>
      <c r="B39" t="s">
        <v>14</v>
      </c>
    </row>
    <row r="40" spans="1:14" x14ac:dyDescent="0.25">
      <c r="A40" s="1" t="s">
        <v>10</v>
      </c>
      <c r="B40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E64E-5DCD-4EBB-A68B-94D7D834683C}">
  <dimension ref="A2:P41"/>
  <sheetViews>
    <sheetView tabSelected="1" workbookViewId="0">
      <selection activeCell="V9" sqref="V9"/>
    </sheetView>
  </sheetViews>
  <sheetFormatPr defaultRowHeight="15" x14ac:dyDescent="0.25"/>
  <cols>
    <col min="1" max="1" width="15" bestFit="1" customWidth="1"/>
    <col min="4" max="4" width="13.42578125" bestFit="1" customWidth="1"/>
    <col min="5" max="5" width="8.85546875" bestFit="1" customWidth="1"/>
    <col min="6" max="6" width="8.85546875" customWidth="1"/>
    <col min="7" max="7" width="10.85546875" bestFit="1" customWidth="1"/>
    <col min="8" max="8" width="15" bestFit="1" customWidth="1"/>
    <col min="9" max="9" width="15" customWidth="1"/>
    <col min="10" max="10" width="11.28515625" bestFit="1" customWidth="1"/>
    <col min="11" max="11" width="10.7109375" bestFit="1" customWidth="1"/>
    <col min="14" max="14" width="12" bestFit="1" customWidth="1"/>
    <col min="15" max="15" width="15" customWidth="1"/>
    <col min="16" max="16" width="11.5703125" bestFit="1" customWidth="1"/>
  </cols>
  <sheetData>
    <row r="2" spans="1:16" ht="21" x14ac:dyDescent="0.35">
      <c r="A2" s="46" t="s">
        <v>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21" x14ac:dyDescent="0.35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thickBot="1" x14ac:dyDescent="0.3"/>
    <row r="5" spans="1:16" ht="78.75" x14ac:dyDescent="0.25">
      <c r="A5" s="6"/>
      <c r="B5" s="19" t="str">
        <f>$A$6</f>
        <v>Bedeque</v>
      </c>
      <c r="C5" s="19" t="s">
        <v>39</v>
      </c>
      <c r="D5" s="19" t="str">
        <f>$A$8</f>
        <v>Charlottetown</v>
      </c>
      <c r="E5" s="19" t="str">
        <f>$A$9</f>
        <v>Cornwall</v>
      </c>
      <c r="F5" s="19" t="str">
        <f>$A$10</f>
        <v>Ellerslie</v>
      </c>
      <c r="G5" s="19" t="str">
        <f>$A$11</f>
        <v>Kensington</v>
      </c>
      <c r="H5" s="19" t="str">
        <f>$A$12</f>
        <v>Murray Harbour</v>
      </c>
      <c r="I5" s="19" t="str">
        <f>$A$13</f>
        <v>North Rustico</v>
      </c>
      <c r="J5" s="19" t="s">
        <v>4</v>
      </c>
      <c r="K5" s="19" t="s">
        <v>43</v>
      </c>
      <c r="L5" s="19" t="str">
        <f>$A$16</f>
        <v>Souris</v>
      </c>
      <c r="M5" s="19" t="str">
        <f>$A$17</f>
        <v>Stratford</v>
      </c>
      <c r="N5" s="19" t="str">
        <f>$A$18</f>
        <v>Summerside</v>
      </c>
      <c r="O5" s="19" t="str">
        <f>$A$19</f>
        <v>Three Rivers</v>
      </c>
      <c r="P5" s="21" t="str">
        <f>$A$20</f>
        <v>Tignish</v>
      </c>
    </row>
    <row r="6" spans="1:16" x14ac:dyDescent="0.25">
      <c r="A6" s="3" t="s">
        <v>0</v>
      </c>
      <c r="B6" s="2"/>
      <c r="C6" s="16">
        <f t="shared" ref="C6:P6" si="0">MROUND(C27*0.45,1)</f>
        <v>82</v>
      </c>
      <c r="D6" s="16">
        <f t="shared" si="0"/>
        <v>46</v>
      </c>
      <c r="E6" s="16">
        <f t="shared" si="0"/>
        <v>42</v>
      </c>
      <c r="F6" s="16">
        <f t="shared" si="0"/>
        <v>45</v>
      </c>
      <c r="G6" s="16">
        <f t="shared" si="0"/>
        <v>15</v>
      </c>
      <c r="H6" s="16">
        <f t="shared" si="0"/>
        <v>105</v>
      </c>
      <c r="I6" s="16">
        <f t="shared" si="0"/>
        <v>38</v>
      </c>
      <c r="J6" s="16">
        <f t="shared" si="0"/>
        <v>81</v>
      </c>
      <c r="K6" s="16">
        <f t="shared" si="0"/>
        <v>63</v>
      </c>
      <c r="L6" s="16">
        <f t="shared" si="0"/>
        <v>116</v>
      </c>
      <c r="M6" s="16">
        <f t="shared" si="0"/>
        <v>54</v>
      </c>
      <c r="N6" s="16">
        <f t="shared" si="0"/>
        <v>13</v>
      </c>
      <c r="O6" s="16">
        <f t="shared" si="0"/>
        <v>89</v>
      </c>
      <c r="P6" s="18">
        <f t="shared" si="0"/>
        <v>85</v>
      </c>
    </row>
    <row r="7" spans="1:16" x14ac:dyDescent="0.25">
      <c r="A7" s="3" t="s">
        <v>39</v>
      </c>
      <c r="B7" s="16">
        <f t="shared" ref="B7:B8" si="1">MROUND(B28*0.45,1)</f>
        <v>82</v>
      </c>
      <c r="C7" s="2"/>
      <c r="D7" s="16">
        <f>MROUND(D28*0.45,1)</f>
        <v>33</v>
      </c>
      <c r="E7" s="16">
        <f t="shared" ref="E7:E8" si="2">MROUND(E28*0.45,1)</f>
        <v>49</v>
      </c>
      <c r="F7" s="16">
        <f t="shared" ref="F7" si="3">MROUND(F28*0.45,1)</f>
        <v>121</v>
      </c>
      <c r="G7" s="16">
        <f>MROUND(G28*0.45,1)</f>
        <v>77</v>
      </c>
      <c r="H7" s="16">
        <f>MROUND(H28*0.45,1)</f>
        <v>32</v>
      </c>
      <c r="I7" s="16">
        <f t="shared" ref="H7:P11" si="4">MROUND(I28*0.45,1)</f>
        <v>65</v>
      </c>
      <c r="J7" s="16">
        <f t="shared" si="4"/>
        <v>56</v>
      </c>
      <c r="K7" s="16">
        <f t="shared" si="4"/>
        <v>139</v>
      </c>
      <c r="L7" s="16">
        <f t="shared" si="4"/>
        <v>68</v>
      </c>
      <c r="M7" s="16">
        <f t="shared" si="4"/>
        <v>32</v>
      </c>
      <c r="N7" s="16">
        <f t="shared" si="4"/>
        <v>91</v>
      </c>
      <c r="O7" s="16">
        <f t="shared" si="4"/>
        <v>35</v>
      </c>
      <c r="P7" s="18">
        <f t="shared" si="4"/>
        <v>160</v>
      </c>
    </row>
    <row r="8" spans="1:16" x14ac:dyDescent="0.25">
      <c r="A8" s="3" t="s">
        <v>1</v>
      </c>
      <c r="B8" s="16">
        <f t="shared" si="1"/>
        <v>46</v>
      </c>
      <c r="C8" s="16">
        <f>MROUND(C29*0.45,1)</f>
        <v>33</v>
      </c>
      <c r="D8" s="2"/>
      <c r="E8" s="16">
        <f t="shared" si="2"/>
        <v>10</v>
      </c>
      <c r="F8" s="16">
        <f t="shared" ref="F8" si="5">MROUND(F29*0.45,1)</f>
        <v>86</v>
      </c>
      <c r="G8" s="16">
        <f>MROUND(G29*0.45,1)</f>
        <v>43</v>
      </c>
      <c r="H8" s="16">
        <f>MROUND(H29*0.45,1)</f>
        <v>57</v>
      </c>
      <c r="I8" s="16">
        <f t="shared" si="4"/>
        <v>29</v>
      </c>
      <c r="J8" s="16">
        <f t="shared" si="4"/>
        <v>38</v>
      </c>
      <c r="K8" s="16">
        <f t="shared" si="4"/>
        <v>117</v>
      </c>
      <c r="L8" s="16">
        <f t="shared" si="4"/>
        <v>70</v>
      </c>
      <c r="M8" s="16">
        <f t="shared" si="4"/>
        <v>5</v>
      </c>
      <c r="N8" s="16">
        <f t="shared" si="4"/>
        <v>54</v>
      </c>
      <c r="O8" s="16">
        <f t="shared" si="4"/>
        <v>43</v>
      </c>
      <c r="P8" s="18">
        <f t="shared" si="4"/>
        <v>138</v>
      </c>
    </row>
    <row r="9" spans="1:16" x14ac:dyDescent="0.25">
      <c r="A9" s="3" t="s">
        <v>2</v>
      </c>
      <c r="B9" s="16">
        <f>MROUND(B30*0.45,1)</f>
        <v>42</v>
      </c>
      <c r="C9" s="16">
        <f t="shared" ref="C9:D20" si="6">MROUND(C30*0.45,1)</f>
        <v>49</v>
      </c>
      <c r="D9" s="16">
        <f>MROUND(D30*0.45,1)</f>
        <v>10</v>
      </c>
      <c r="E9" s="2"/>
      <c r="F9" s="16">
        <f t="shared" ref="F9" si="7">MROUND(F30*0.45,1)</f>
        <v>84</v>
      </c>
      <c r="G9" s="16">
        <f>MROUND(G30*0.45,1)</f>
        <v>42</v>
      </c>
      <c r="H9" s="16">
        <f t="shared" si="4"/>
        <v>69</v>
      </c>
      <c r="I9" s="16">
        <f t="shared" si="4"/>
        <v>29</v>
      </c>
      <c r="J9" s="16">
        <f t="shared" si="4"/>
        <v>46</v>
      </c>
      <c r="K9" s="16">
        <f t="shared" si="4"/>
        <v>103</v>
      </c>
      <c r="L9" s="16">
        <f t="shared" si="4"/>
        <v>81</v>
      </c>
      <c r="M9" s="16">
        <f t="shared" si="4"/>
        <v>18</v>
      </c>
      <c r="N9" s="16">
        <f t="shared" si="4"/>
        <v>51</v>
      </c>
      <c r="O9" s="16">
        <f t="shared" si="4"/>
        <v>56</v>
      </c>
      <c r="P9" s="18">
        <f t="shared" si="4"/>
        <v>125</v>
      </c>
    </row>
    <row r="10" spans="1:16" x14ac:dyDescent="0.25">
      <c r="A10" s="3" t="s">
        <v>44</v>
      </c>
      <c r="B10" s="16">
        <f>MROUND(B32*0.45,1)</f>
        <v>15</v>
      </c>
      <c r="C10" s="16">
        <f t="shared" si="6"/>
        <v>121</v>
      </c>
      <c r="D10" s="16">
        <f t="shared" si="6"/>
        <v>86</v>
      </c>
      <c r="E10" s="16">
        <f t="shared" ref="E10:F20" si="8">MROUND(E31*0.45,1)</f>
        <v>84</v>
      </c>
      <c r="F10" s="2"/>
      <c r="G10" s="16">
        <f>MROUND(G31*0.45,1)</f>
        <v>42</v>
      </c>
      <c r="H10" s="16">
        <f t="shared" si="4"/>
        <v>143</v>
      </c>
      <c r="I10" s="16">
        <f t="shared" si="4"/>
        <v>69</v>
      </c>
      <c r="J10" s="16">
        <f t="shared" si="4"/>
        <v>119</v>
      </c>
      <c r="K10" s="16">
        <f t="shared" si="4"/>
        <v>27</v>
      </c>
      <c r="L10" s="16">
        <f t="shared" si="4"/>
        <v>154</v>
      </c>
      <c r="M10" s="16">
        <f t="shared" si="4"/>
        <v>92</v>
      </c>
      <c r="N10" s="16">
        <f t="shared" si="4"/>
        <v>34</v>
      </c>
      <c r="O10" s="16">
        <f t="shared" si="4"/>
        <v>130</v>
      </c>
      <c r="P10" s="18">
        <f t="shared" si="4"/>
        <v>49</v>
      </c>
    </row>
    <row r="11" spans="1:16" x14ac:dyDescent="0.25">
      <c r="A11" s="3" t="s">
        <v>3</v>
      </c>
      <c r="B11" s="16">
        <f>MROUND(B35*0.45,1)</f>
        <v>81</v>
      </c>
      <c r="C11" s="16">
        <f t="shared" si="6"/>
        <v>77</v>
      </c>
      <c r="D11" s="16">
        <f t="shared" si="6"/>
        <v>43</v>
      </c>
      <c r="E11" s="16">
        <f t="shared" si="8"/>
        <v>42</v>
      </c>
      <c r="F11" s="16">
        <f>MROUND(F32*0.45,1)</f>
        <v>42</v>
      </c>
      <c r="G11" s="2"/>
      <c r="H11" s="16">
        <f t="shared" si="4"/>
        <v>100</v>
      </c>
      <c r="I11" s="16">
        <f t="shared" si="4"/>
        <v>27</v>
      </c>
      <c r="J11" s="16">
        <f t="shared" si="4"/>
        <v>78</v>
      </c>
      <c r="K11" s="16">
        <f t="shared" si="4"/>
        <v>62</v>
      </c>
      <c r="L11" s="16">
        <f t="shared" si="4"/>
        <v>116</v>
      </c>
      <c r="M11" s="16">
        <f t="shared" si="4"/>
        <v>48</v>
      </c>
      <c r="N11" s="16">
        <f t="shared" si="4"/>
        <v>14</v>
      </c>
      <c r="O11" s="16">
        <f t="shared" si="4"/>
        <v>85</v>
      </c>
      <c r="P11" s="18">
        <f t="shared" si="4"/>
        <v>84</v>
      </c>
    </row>
    <row r="12" spans="1:16" x14ac:dyDescent="0.25">
      <c r="A12" s="3" t="s">
        <v>41</v>
      </c>
      <c r="B12" s="16">
        <f t="shared" ref="B12:B18" si="9">MROUND(B33*0.45,1)</f>
        <v>105</v>
      </c>
      <c r="C12" s="16">
        <f t="shared" si="6"/>
        <v>32</v>
      </c>
      <c r="D12" s="16">
        <f t="shared" si="6"/>
        <v>57</v>
      </c>
      <c r="E12" s="16">
        <f t="shared" si="8"/>
        <v>69</v>
      </c>
      <c r="F12" s="16">
        <f t="shared" si="8"/>
        <v>143</v>
      </c>
      <c r="G12" s="16">
        <f>MROUND(G33*0.45,1)</f>
        <v>100</v>
      </c>
      <c r="H12" s="2"/>
      <c r="I12" s="16">
        <f t="shared" ref="I12:P12" si="10">MROUND(I33*0.45,1)</f>
        <v>86</v>
      </c>
      <c r="J12" s="16">
        <f t="shared" si="10"/>
        <v>52</v>
      </c>
      <c r="K12" s="16">
        <f t="shared" si="10"/>
        <v>163</v>
      </c>
      <c r="L12" s="16">
        <f t="shared" si="10"/>
        <v>64</v>
      </c>
      <c r="M12" s="16">
        <f t="shared" si="10"/>
        <v>52</v>
      </c>
      <c r="N12" s="16">
        <f t="shared" si="10"/>
        <v>112</v>
      </c>
      <c r="O12" s="16">
        <f t="shared" si="10"/>
        <v>33</v>
      </c>
      <c r="P12" s="18">
        <f t="shared" si="10"/>
        <v>184</v>
      </c>
    </row>
    <row r="13" spans="1:16" x14ac:dyDescent="0.25">
      <c r="A13" s="3" t="s">
        <v>46</v>
      </c>
      <c r="B13" s="16">
        <f t="shared" si="9"/>
        <v>38</v>
      </c>
      <c r="C13" s="16">
        <f t="shared" si="6"/>
        <v>65</v>
      </c>
      <c r="D13" s="16">
        <f t="shared" si="6"/>
        <v>29</v>
      </c>
      <c r="E13" s="16">
        <f t="shared" si="8"/>
        <v>29</v>
      </c>
      <c r="F13" s="16">
        <f t="shared" si="8"/>
        <v>69</v>
      </c>
      <c r="G13" s="16">
        <f t="shared" ref="G13" si="11">MROUND(G34*0.45,1)</f>
        <v>27</v>
      </c>
      <c r="H13" s="16">
        <f>MROUND(H34*0.45,1)</f>
        <v>86</v>
      </c>
      <c r="I13" s="2"/>
      <c r="J13" s="16">
        <f t="shared" ref="J13:P13" si="12">MROUND(J34*0.45,1)</f>
        <v>59</v>
      </c>
      <c r="K13" s="16">
        <f t="shared" si="12"/>
        <v>88</v>
      </c>
      <c r="L13" s="16">
        <f t="shared" si="12"/>
        <v>94</v>
      </c>
      <c r="M13" s="16">
        <f t="shared" si="12"/>
        <v>35</v>
      </c>
      <c r="N13" s="16">
        <f t="shared" si="12"/>
        <v>41</v>
      </c>
      <c r="O13" s="16">
        <f t="shared" si="12"/>
        <v>71</v>
      </c>
      <c r="P13" s="18">
        <f t="shared" si="12"/>
        <v>111</v>
      </c>
    </row>
    <row r="14" spans="1:16" x14ac:dyDescent="0.25">
      <c r="A14" s="3" t="s">
        <v>4</v>
      </c>
      <c r="B14" s="16">
        <f t="shared" si="9"/>
        <v>81</v>
      </c>
      <c r="C14" s="16">
        <f t="shared" si="6"/>
        <v>56</v>
      </c>
      <c r="D14" s="16">
        <f t="shared" si="6"/>
        <v>35</v>
      </c>
      <c r="E14" s="16">
        <f t="shared" si="8"/>
        <v>46</v>
      </c>
      <c r="F14" s="16">
        <f t="shared" si="8"/>
        <v>119</v>
      </c>
      <c r="G14" s="16">
        <f t="shared" ref="G14:H14" si="13">MROUND(G35*0.45,1)</f>
        <v>78</v>
      </c>
      <c r="H14" s="16">
        <f t="shared" si="13"/>
        <v>52</v>
      </c>
      <c r="I14" s="16">
        <f>MROUND(I35*0.45,1)</f>
        <v>59</v>
      </c>
      <c r="J14" s="42"/>
      <c r="K14" s="16">
        <f t="shared" ref="K14:P14" si="14">MROUND(K35*0.45,1)</f>
        <v>140</v>
      </c>
      <c r="L14" s="16">
        <f t="shared" si="14"/>
        <v>32</v>
      </c>
      <c r="M14" s="16">
        <f t="shared" si="14"/>
        <v>41</v>
      </c>
      <c r="N14" s="16">
        <f t="shared" si="14"/>
        <v>88</v>
      </c>
      <c r="O14" s="16">
        <f t="shared" si="14"/>
        <v>22</v>
      </c>
      <c r="P14" s="18">
        <f t="shared" si="14"/>
        <v>160</v>
      </c>
    </row>
    <row r="15" spans="1:16" x14ac:dyDescent="0.25">
      <c r="A15" s="3" t="s">
        <v>43</v>
      </c>
      <c r="B15" s="16">
        <f t="shared" si="9"/>
        <v>63</v>
      </c>
      <c r="C15" s="16">
        <f t="shared" si="6"/>
        <v>139</v>
      </c>
      <c r="D15" s="16">
        <f t="shared" si="6"/>
        <v>117</v>
      </c>
      <c r="E15" s="16">
        <f t="shared" si="8"/>
        <v>103</v>
      </c>
      <c r="F15" s="16">
        <f t="shared" si="8"/>
        <v>27</v>
      </c>
      <c r="G15" s="16">
        <f t="shared" ref="G15:I15" si="15">MROUND(G36*0.45,1)</f>
        <v>62</v>
      </c>
      <c r="H15" s="16">
        <f t="shared" si="15"/>
        <v>163</v>
      </c>
      <c r="I15" s="16">
        <f t="shared" si="15"/>
        <v>88</v>
      </c>
      <c r="J15" s="16">
        <f>MROUND(J36*0.45,1)</f>
        <v>140</v>
      </c>
      <c r="K15" s="2"/>
      <c r="L15" s="16">
        <f t="shared" ref="L15:P15" si="16">MROUND(L36*0.45,1)</f>
        <v>190</v>
      </c>
      <c r="M15" s="16">
        <f t="shared" si="16"/>
        <v>109</v>
      </c>
      <c r="N15" s="16">
        <f t="shared" si="16"/>
        <v>53</v>
      </c>
      <c r="O15" s="16">
        <f t="shared" si="16"/>
        <v>147</v>
      </c>
      <c r="P15" s="18">
        <f t="shared" si="16"/>
        <v>31</v>
      </c>
    </row>
    <row r="16" spans="1:16" x14ac:dyDescent="0.25">
      <c r="A16" s="3" t="s">
        <v>5</v>
      </c>
      <c r="B16" s="16">
        <f t="shared" si="9"/>
        <v>116</v>
      </c>
      <c r="C16" s="16">
        <f t="shared" si="6"/>
        <v>68</v>
      </c>
      <c r="D16" s="16">
        <f t="shared" si="6"/>
        <v>73</v>
      </c>
      <c r="E16" s="16">
        <f t="shared" si="8"/>
        <v>81</v>
      </c>
      <c r="F16" s="16">
        <f t="shared" si="8"/>
        <v>154</v>
      </c>
      <c r="G16" s="16">
        <f t="shared" ref="G16:J16" si="17">MROUND(G37*0.45,1)</f>
        <v>116</v>
      </c>
      <c r="H16" s="16">
        <f t="shared" si="17"/>
        <v>64</v>
      </c>
      <c r="I16" s="16">
        <f t="shared" si="17"/>
        <v>94</v>
      </c>
      <c r="J16" s="16">
        <f t="shared" si="17"/>
        <v>32</v>
      </c>
      <c r="K16" s="16">
        <f>MROUND(K37*0.45,1)</f>
        <v>190</v>
      </c>
      <c r="L16" s="42"/>
      <c r="M16" s="16">
        <f t="shared" ref="M16:P16" si="18">MROUND(M37*0.45,1)</f>
        <v>66</v>
      </c>
      <c r="N16" s="16">
        <f t="shared" si="18"/>
        <v>123</v>
      </c>
      <c r="O16" s="16">
        <f t="shared" si="18"/>
        <v>32</v>
      </c>
      <c r="P16" s="18">
        <f t="shared" si="18"/>
        <v>211</v>
      </c>
    </row>
    <row r="17" spans="1:16" x14ac:dyDescent="0.25">
      <c r="A17" s="3" t="s">
        <v>6</v>
      </c>
      <c r="B17" s="16">
        <f t="shared" si="9"/>
        <v>54</v>
      </c>
      <c r="C17" s="16">
        <f t="shared" si="6"/>
        <v>32</v>
      </c>
      <c r="D17" s="16">
        <f t="shared" si="6"/>
        <v>6</v>
      </c>
      <c r="E17" s="16">
        <f t="shared" si="8"/>
        <v>18</v>
      </c>
      <c r="F17" s="16">
        <f t="shared" si="8"/>
        <v>92</v>
      </c>
      <c r="G17" s="16">
        <f t="shared" ref="G17:K17" si="19">MROUND(G38*0.45,1)</f>
        <v>48</v>
      </c>
      <c r="H17" s="16">
        <f t="shared" si="19"/>
        <v>52</v>
      </c>
      <c r="I17" s="16">
        <f t="shared" si="19"/>
        <v>35</v>
      </c>
      <c r="J17" s="16">
        <f t="shared" si="19"/>
        <v>41</v>
      </c>
      <c r="K17" s="16">
        <f t="shared" si="19"/>
        <v>109</v>
      </c>
      <c r="L17" s="16">
        <f>MROUND(L38*0.45,1)</f>
        <v>66</v>
      </c>
      <c r="M17" s="42"/>
      <c r="N17" s="16">
        <f t="shared" ref="N17:P17" si="20">MROUND(N38*0.45,1)</f>
        <v>62</v>
      </c>
      <c r="O17" s="16">
        <f t="shared" si="20"/>
        <v>38</v>
      </c>
      <c r="P17" s="18">
        <f t="shared" si="20"/>
        <v>131</v>
      </c>
    </row>
    <row r="18" spans="1:16" x14ac:dyDescent="0.25">
      <c r="A18" s="3" t="s">
        <v>7</v>
      </c>
      <c r="B18" s="16">
        <f t="shared" si="9"/>
        <v>13</v>
      </c>
      <c r="C18" s="16">
        <f t="shared" si="6"/>
        <v>91</v>
      </c>
      <c r="D18" s="16">
        <f t="shared" si="6"/>
        <v>54</v>
      </c>
      <c r="E18" s="16">
        <f t="shared" si="8"/>
        <v>51</v>
      </c>
      <c r="F18" s="16">
        <f t="shared" si="8"/>
        <v>34</v>
      </c>
      <c r="G18" s="16">
        <f t="shared" ref="G18:L18" si="21">MROUND(G39*0.45,1)</f>
        <v>14</v>
      </c>
      <c r="H18" s="16">
        <f t="shared" si="21"/>
        <v>112</v>
      </c>
      <c r="I18" s="16">
        <f t="shared" si="21"/>
        <v>41</v>
      </c>
      <c r="J18" s="16">
        <f t="shared" si="21"/>
        <v>88</v>
      </c>
      <c r="K18" s="16">
        <f t="shared" si="21"/>
        <v>53</v>
      </c>
      <c r="L18" s="16">
        <f t="shared" si="21"/>
        <v>123</v>
      </c>
      <c r="M18" s="16">
        <f>MROUND(M39*0.45,1)</f>
        <v>62</v>
      </c>
      <c r="N18" s="42"/>
      <c r="O18" s="16">
        <f t="shared" ref="O18:P18" si="22">MROUND(O39*0.45,1)</f>
        <v>98</v>
      </c>
      <c r="P18" s="18">
        <f t="shared" si="22"/>
        <v>75</v>
      </c>
    </row>
    <row r="19" spans="1:16" x14ac:dyDescent="0.25">
      <c r="A19" s="3" t="s">
        <v>8</v>
      </c>
      <c r="B19" s="16">
        <f t="shared" ref="B19:M20" si="23">MROUND(B40*0.45,1)</f>
        <v>89</v>
      </c>
      <c r="C19" s="16">
        <f t="shared" si="6"/>
        <v>35</v>
      </c>
      <c r="D19" s="16">
        <f t="shared" si="6"/>
        <v>43</v>
      </c>
      <c r="E19" s="16">
        <f t="shared" si="8"/>
        <v>56</v>
      </c>
      <c r="F19" s="16">
        <f t="shared" si="8"/>
        <v>130</v>
      </c>
      <c r="G19" s="16">
        <f t="shared" si="23"/>
        <v>85</v>
      </c>
      <c r="H19" s="16">
        <f t="shared" si="23"/>
        <v>33</v>
      </c>
      <c r="I19" s="16">
        <f t="shared" si="23"/>
        <v>71</v>
      </c>
      <c r="J19" s="16">
        <f t="shared" si="23"/>
        <v>22</v>
      </c>
      <c r="K19" s="16">
        <f t="shared" si="23"/>
        <v>147</v>
      </c>
      <c r="L19" s="16">
        <f t="shared" si="23"/>
        <v>32</v>
      </c>
      <c r="M19" s="16">
        <f t="shared" si="23"/>
        <v>38</v>
      </c>
      <c r="N19" s="16">
        <f>MROUND(N40*0.45,1)</f>
        <v>98</v>
      </c>
      <c r="O19" s="42"/>
      <c r="P19" s="18">
        <f t="shared" ref="P19" si="24">MROUND(P40*0.45,1)</f>
        <v>168</v>
      </c>
    </row>
    <row r="20" spans="1:16" ht="15.75" thickBot="1" x14ac:dyDescent="0.3">
      <c r="A20" s="4" t="s">
        <v>42</v>
      </c>
      <c r="B20" s="17">
        <f>MROUND(B41*0.45,1)</f>
        <v>85</v>
      </c>
      <c r="C20" s="17">
        <f t="shared" si="6"/>
        <v>160</v>
      </c>
      <c r="D20" s="17">
        <f t="shared" si="6"/>
        <v>138</v>
      </c>
      <c r="E20" s="17">
        <f t="shared" si="8"/>
        <v>125</v>
      </c>
      <c r="F20" s="17">
        <f t="shared" si="8"/>
        <v>49</v>
      </c>
      <c r="G20" s="17">
        <f t="shared" si="23"/>
        <v>84</v>
      </c>
      <c r="H20" s="17">
        <f t="shared" si="23"/>
        <v>184</v>
      </c>
      <c r="I20" s="17">
        <f t="shared" si="23"/>
        <v>111</v>
      </c>
      <c r="J20" s="17">
        <f t="shared" si="23"/>
        <v>160</v>
      </c>
      <c r="K20" s="17">
        <f t="shared" si="23"/>
        <v>31</v>
      </c>
      <c r="L20" s="17">
        <f t="shared" si="23"/>
        <v>211</v>
      </c>
      <c r="M20" s="17">
        <f t="shared" si="23"/>
        <v>131</v>
      </c>
      <c r="N20" s="17">
        <f>MROUND(N41*0.45,1)</f>
        <v>75</v>
      </c>
      <c r="O20" s="17">
        <f>MROUND(O41*0.45,1)</f>
        <v>168</v>
      </c>
      <c r="P20" s="43"/>
    </row>
    <row r="25" spans="1:16" ht="15.75" thickBot="1" x14ac:dyDescent="0.3"/>
    <row r="26" spans="1:16" x14ac:dyDescent="0.25">
      <c r="A26" s="6"/>
      <c r="B26" s="7" t="str">
        <f>$A$6</f>
        <v>Bedeque</v>
      </c>
      <c r="C26" s="7" t="s">
        <v>39</v>
      </c>
      <c r="D26" s="7" t="str">
        <f>$A$8</f>
        <v>Charlottetown</v>
      </c>
      <c r="E26" s="7" t="str">
        <f>$A$9</f>
        <v>Cornwall</v>
      </c>
      <c r="F26" s="7" t="s">
        <v>44</v>
      </c>
      <c r="G26" s="7" t="str">
        <f>$A$11</f>
        <v>Kensington</v>
      </c>
      <c r="H26" s="7" t="str">
        <f>$A$12</f>
        <v>Murray Harbour</v>
      </c>
      <c r="I26" s="7" t="s">
        <v>46</v>
      </c>
      <c r="J26" s="7" t="str">
        <f>$A$14</f>
        <v>Northside</v>
      </c>
      <c r="K26" s="7" t="str">
        <f>$A$15</f>
        <v>O'Leary</v>
      </c>
      <c r="L26" s="7" t="str">
        <f>$A$16</f>
        <v>Souris</v>
      </c>
      <c r="M26" s="7" t="str">
        <f>$A$17</f>
        <v>Stratford</v>
      </c>
      <c r="N26" s="7" t="str">
        <f>$A$18</f>
        <v>Summerside</v>
      </c>
      <c r="O26" s="7" t="str">
        <f>$A$19</f>
        <v>Three Rivers</v>
      </c>
      <c r="P26" s="8" t="str">
        <f>$A$20</f>
        <v>Tignish</v>
      </c>
    </row>
    <row r="27" spans="1:16" x14ac:dyDescent="0.25">
      <c r="A27" s="3" t="s">
        <v>0</v>
      </c>
      <c r="B27" s="2"/>
      <c r="C27" s="10">
        <f>100.65/0.55</f>
        <v>183</v>
      </c>
      <c r="D27" s="10">
        <v>103</v>
      </c>
      <c r="E27" s="11">
        <v>92.8</v>
      </c>
      <c r="F27" s="11">
        <f>50*2</f>
        <v>100</v>
      </c>
      <c r="G27" s="11">
        <v>34.4</v>
      </c>
      <c r="H27" s="11">
        <f>128.7/0.55</f>
        <v>233.99999999999997</v>
      </c>
      <c r="I27" s="11">
        <f>46.75/0.55</f>
        <v>85</v>
      </c>
      <c r="J27" s="11">
        <v>180.6</v>
      </c>
      <c r="K27" s="11">
        <f>77/0.55</f>
        <v>140</v>
      </c>
      <c r="L27" s="11">
        <v>258</v>
      </c>
      <c r="M27" s="10">
        <v>120</v>
      </c>
      <c r="N27" s="10">
        <v>28</v>
      </c>
      <c r="O27" s="11">
        <v>197.2</v>
      </c>
      <c r="P27" s="12">
        <f>103.4/0.55</f>
        <v>188</v>
      </c>
    </row>
    <row r="28" spans="1:16" x14ac:dyDescent="0.25">
      <c r="A28" s="3" t="s">
        <v>39</v>
      </c>
      <c r="B28" s="10">
        <f>C27</f>
        <v>183</v>
      </c>
      <c r="C28" s="2"/>
      <c r="D28" s="11">
        <f>C29</f>
        <v>74</v>
      </c>
      <c r="E28" s="11">
        <f>C30</f>
        <v>107.99999999999999</v>
      </c>
      <c r="F28" s="11">
        <f>134*2</f>
        <v>268</v>
      </c>
      <c r="G28" s="11">
        <f>C32</f>
        <v>170</v>
      </c>
      <c r="H28" s="11">
        <f>C33</f>
        <v>70</v>
      </c>
      <c r="I28" s="11">
        <f>C34</f>
        <v>144</v>
      </c>
      <c r="J28" s="11">
        <f>C35</f>
        <v>124</v>
      </c>
      <c r="K28" s="11">
        <f>C36</f>
        <v>308</v>
      </c>
      <c r="L28" s="11">
        <f>C37</f>
        <v>150</v>
      </c>
      <c r="M28" s="11">
        <f>C38</f>
        <v>70</v>
      </c>
      <c r="N28" s="11">
        <f>C39</f>
        <v>201.99999999999997</v>
      </c>
      <c r="O28" s="28">
        <f>C40</f>
        <v>77.999999999999986</v>
      </c>
      <c r="P28" s="12">
        <f>C41</f>
        <v>356</v>
      </c>
    </row>
    <row r="29" spans="1:16" x14ac:dyDescent="0.25">
      <c r="A29" s="3" t="s">
        <v>1</v>
      </c>
      <c r="B29" s="10">
        <v>103</v>
      </c>
      <c r="C29" s="11">
        <f>40.7/0.55</f>
        <v>74</v>
      </c>
      <c r="D29" s="2"/>
      <c r="E29" s="10">
        <v>22</v>
      </c>
      <c r="F29" s="10">
        <f>95*2</f>
        <v>190</v>
      </c>
      <c r="G29" s="11">
        <v>95.8</v>
      </c>
      <c r="H29" s="10">
        <f>69.3/0.55</f>
        <v>125.99999999999999</v>
      </c>
      <c r="I29" s="10">
        <f>35.2/0.55</f>
        <v>64</v>
      </c>
      <c r="J29" s="10">
        <v>84</v>
      </c>
      <c r="K29" s="11">
        <f>143/0.55</f>
        <v>260</v>
      </c>
      <c r="L29" s="10">
        <v>156</v>
      </c>
      <c r="M29" s="10">
        <v>11</v>
      </c>
      <c r="N29" s="10">
        <v>121</v>
      </c>
      <c r="O29" s="28">
        <v>95.999999999999986</v>
      </c>
      <c r="P29" s="15">
        <f>168.3/0.55</f>
        <v>306</v>
      </c>
    </row>
    <row r="30" spans="1:16" x14ac:dyDescent="0.25">
      <c r="A30" s="3" t="s">
        <v>2</v>
      </c>
      <c r="B30" s="11">
        <v>92.8</v>
      </c>
      <c r="C30" s="41">
        <f>59.4/0.55</f>
        <v>107.99999999999999</v>
      </c>
      <c r="D30" s="10">
        <v>22</v>
      </c>
      <c r="E30" s="2"/>
      <c r="F30" s="10">
        <f>93*2</f>
        <v>186</v>
      </c>
      <c r="G30" s="10">
        <v>94</v>
      </c>
      <c r="H30" s="10">
        <f>84.7/0.55</f>
        <v>154</v>
      </c>
      <c r="I30" s="10">
        <f>35.75/0.55</f>
        <v>65</v>
      </c>
      <c r="J30" s="10">
        <v>102</v>
      </c>
      <c r="K30" s="11">
        <f>126.5/0.55</f>
        <v>229.99999999999997</v>
      </c>
      <c r="L30" s="10">
        <v>179.99999999999997</v>
      </c>
      <c r="M30" s="10">
        <v>41</v>
      </c>
      <c r="N30" s="10">
        <v>114</v>
      </c>
      <c r="O30" s="28">
        <v>124</v>
      </c>
      <c r="P30" s="15">
        <f>152.9/0.55</f>
        <v>278</v>
      </c>
    </row>
    <row r="31" spans="1:16" x14ac:dyDescent="0.25">
      <c r="A31" s="3" t="s">
        <v>45</v>
      </c>
      <c r="B31" s="45">
        <f>F27</f>
        <v>100</v>
      </c>
      <c r="C31" s="11">
        <f>F28</f>
        <v>268</v>
      </c>
      <c r="D31" s="41">
        <f>F29</f>
        <v>190</v>
      </c>
      <c r="E31" s="10">
        <f>F30</f>
        <v>186</v>
      </c>
      <c r="F31" s="2"/>
      <c r="G31" s="10">
        <f>F32</f>
        <v>94</v>
      </c>
      <c r="H31" s="10">
        <f>F33</f>
        <v>318</v>
      </c>
      <c r="I31" s="10">
        <f>F34</f>
        <v>154</v>
      </c>
      <c r="J31" s="10">
        <f>F35</f>
        <v>264</v>
      </c>
      <c r="K31" s="11">
        <f>F36</f>
        <v>60</v>
      </c>
      <c r="L31" s="10">
        <f>F37</f>
        <v>342</v>
      </c>
      <c r="M31" s="10">
        <f>F38</f>
        <v>204</v>
      </c>
      <c r="N31" s="10">
        <f>F39</f>
        <v>76</v>
      </c>
      <c r="O31" s="28">
        <f>F40</f>
        <v>288</v>
      </c>
      <c r="P31" s="15">
        <f>F41</f>
        <v>108</v>
      </c>
    </row>
    <row r="32" spans="1:16" x14ac:dyDescent="0.25">
      <c r="A32" s="3" t="s">
        <v>3</v>
      </c>
      <c r="B32" s="11">
        <v>34.4</v>
      </c>
      <c r="C32" s="41">
        <f>93.5/0.55</f>
        <v>170</v>
      </c>
      <c r="D32" s="10">
        <v>95.999999999999986</v>
      </c>
      <c r="E32" s="10">
        <v>94</v>
      </c>
      <c r="F32" s="10">
        <f>47*2</f>
        <v>94</v>
      </c>
      <c r="G32" s="2"/>
      <c r="H32" s="10">
        <f>122.1/0.55</f>
        <v>221.99999999999997</v>
      </c>
      <c r="I32" s="10">
        <f>33/0.55</f>
        <v>59.999999999999993</v>
      </c>
      <c r="J32" s="10">
        <v>174</v>
      </c>
      <c r="K32" s="11">
        <f>75.9/0.55</f>
        <v>138</v>
      </c>
      <c r="L32" s="10">
        <v>258</v>
      </c>
      <c r="M32" s="10">
        <v>105.99999999999999</v>
      </c>
      <c r="N32" s="10">
        <v>31</v>
      </c>
      <c r="O32" s="28">
        <v>188</v>
      </c>
      <c r="P32" s="15">
        <f>102.3/0.55</f>
        <v>185.99999999999997</v>
      </c>
    </row>
    <row r="33" spans="1:16" x14ac:dyDescent="0.25">
      <c r="A33" s="3" t="s">
        <v>41</v>
      </c>
      <c r="B33" s="11">
        <f>H27</f>
        <v>233.99999999999997</v>
      </c>
      <c r="C33" s="11">
        <f>38.5/0.55</f>
        <v>70</v>
      </c>
      <c r="D33" s="10">
        <f>H29</f>
        <v>125.99999999999999</v>
      </c>
      <c r="E33" s="10">
        <f>H30</f>
        <v>154</v>
      </c>
      <c r="F33" s="10">
        <f>159*2</f>
        <v>318</v>
      </c>
      <c r="G33" s="10">
        <f>H32</f>
        <v>221.99999999999997</v>
      </c>
      <c r="H33" s="2"/>
      <c r="I33" s="10">
        <f>H34</f>
        <v>191.99999999999997</v>
      </c>
      <c r="J33" s="10">
        <f>H35</f>
        <v>115.99999999999999</v>
      </c>
      <c r="K33" s="11">
        <f>H36</f>
        <v>361.99999999999994</v>
      </c>
      <c r="L33" s="10">
        <f>H37</f>
        <v>141.99999999999997</v>
      </c>
      <c r="M33" s="10">
        <f>H38</f>
        <v>115.99999999999999</v>
      </c>
      <c r="N33" s="10">
        <f>H39</f>
        <v>249.99999999999997</v>
      </c>
      <c r="O33" s="28">
        <f>H40</f>
        <v>74</v>
      </c>
      <c r="P33" s="15">
        <f>H41</f>
        <v>409.99999999999994</v>
      </c>
    </row>
    <row r="34" spans="1:16" x14ac:dyDescent="0.25">
      <c r="A34" s="3" t="s">
        <v>46</v>
      </c>
      <c r="B34" s="11">
        <f>I27</f>
        <v>85</v>
      </c>
      <c r="C34" s="11">
        <f>79.2/0.55</f>
        <v>144</v>
      </c>
      <c r="D34" s="10">
        <f>I29</f>
        <v>64</v>
      </c>
      <c r="E34" s="10">
        <f>I30</f>
        <v>65</v>
      </c>
      <c r="F34" s="10">
        <f>77*2</f>
        <v>154</v>
      </c>
      <c r="G34" s="10">
        <f>I32</f>
        <v>59.999999999999993</v>
      </c>
      <c r="H34" s="10">
        <f>105.6/0.55</f>
        <v>191.99999999999997</v>
      </c>
      <c r="I34" s="2"/>
      <c r="J34" s="10">
        <f>I35</f>
        <v>130</v>
      </c>
      <c r="K34" s="11">
        <f>I36</f>
        <v>195.99999999999997</v>
      </c>
      <c r="L34" s="11">
        <f>I37</f>
        <v>208</v>
      </c>
      <c r="M34" s="10">
        <f>I38</f>
        <v>77.999999999999986</v>
      </c>
      <c r="N34" s="10">
        <f>I39</f>
        <v>90.999999999999986</v>
      </c>
      <c r="O34" s="28">
        <f>I40</f>
        <v>156.99999999999997</v>
      </c>
      <c r="P34" s="15">
        <f>I41</f>
        <v>246</v>
      </c>
    </row>
    <row r="35" spans="1:16" x14ac:dyDescent="0.25">
      <c r="A35" s="3" t="s">
        <v>4</v>
      </c>
      <c r="B35" s="11">
        <v>180.6</v>
      </c>
      <c r="C35" s="11">
        <f>68.2/0.55</f>
        <v>124</v>
      </c>
      <c r="D35" s="10">
        <v>77.999999999999986</v>
      </c>
      <c r="E35" s="10">
        <v>102</v>
      </c>
      <c r="F35" s="10">
        <f>132*2</f>
        <v>264</v>
      </c>
      <c r="G35" s="10">
        <v>174</v>
      </c>
      <c r="H35" s="10">
        <f>63.8/0.55</f>
        <v>115.99999999999999</v>
      </c>
      <c r="I35" s="10">
        <f>71.5/0.55</f>
        <v>130</v>
      </c>
      <c r="J35" s="2"/>
      <c r="K35" s="11">
        <f>171.6/0.55</f>
        <v>311.99999999999994</v>
      </c>
      <c r="L35" s="10">
        <v>72</v>
      </c>
      <c r="M35" s="10">
        <v>92</v>
      </c>
      <c r="N35" s="10">
        <v>195.99999999999997</v>
      </c>
      <c r="O35" s="28">
        <v>47.999999999999993</v>
      </c>
      <c r="P35" s="15">
        <f>195.8/0.55</f>
        <v>356</v>
      </c>
    </row>
    <row r="36" spans="1:16" x14ac:dyDescent="0.25">
      <c r="A36" s="3" t="s">
        <v>43</v>
      </c>
      <c r="B36" s="11">
        <f>K27</f>
        <v>140</v>
      </c>
      <c r="C36" s="11">
        <f>169.4/0.55</f>
        <v>308</v>
      </c>
      <c r="D36" s="11">
        <f>K29</f>
        <v>260</v>
      </c>
      <c r="E36" s="11">
        <f>K30</f>
        <v>229.99999999999997</v>
      </c>
      <c r="F36" s="10">
        <f>30*2</f>
        <v>60</v>
      </c>
      <c r="G36" s="11">
        <f>K32</f>
        <v>138</v>
      </c>
      <c r="H36" s="10">
        <f>199.1/0.55</f>
        <v>361.99999999999994</v>
      </c>
      <c r="I36" s="11">
        <f>107.8/0.55</f>
        <v>195.99999999999997</v>
      </c>
      <c r="J36" s="10">
        <f>171.6/0.55</f>
        <v>311.99999999999994</v>
      </c>
      <c r="K36" s="2"/>
      <c r="L36" s="10">
        <f>K37</f>
        <v>421.99999999999994</v>
      </c>
      <c r="M36" s="11">
        <f>K38</f>
        <v>241.99999999999997</v>
      </c>
      <c r="N36" s="11">
        <f>K39</f>
        <v>118</v>
      </c>
      <c r="O36" s="29">
        <f>K40</f>
        <v>326</v>
      </c>
      <c r="P36" s="15">
        <f>K41</f>
        <v>67.999999999999986</v>
      </c>
    </row>
    <row r="37" spans="1:16" x14ac:dyDescent="0.25">
      <c r="A37" s="3" t="s">
        <v>5</v>
      </c>
      <c r="B37" s="11">
        <v>258</v>
      </c>
      <c r="C37" s="11">
        <f>82.5/0.55</f>
        <v>150</v>
      </c>
      <c r="D37" s="10">
        <v>161.99999999999997</v>
      </c>
      <c r="E37" s="10">
        <v>179.99999999999997</v>
      </c>
      <c r="F37" s="10">
        <f>171*2</f>
        <v>342</v>
      </c>
      <c r="G37" s="10">
        <v>258</v>
      </c>
      <c r="H37" s="10">
        <f>78.1/0.55</f>
        <v>141.99999999999997</v>
      </c>
      <c r="I37" s="11">
        <f>114.4/0.55</f>
        <v>208</v>
      </c>
      <c r="J37" s="10">
        <v>72</v>
      </c>
      <c r="K37" s="10">
        <f>232.1/0.55</f>
        <v>421.99999999999994</v>
      </c>
      <c r="L37" s="2"/>
      <c r="M37" s="10">
        <v>145.99999999999997</v>
      </c>
      <c r="N37" s="10">
        <v>273.99999999999994</v>
      </c>
      <c r="O37" s="28">
        <v>72</v>
      </c>
      <c r="P37" s="15">
        <f>257.4/0.55</f>
        <v>467.99999999999994</v>
      </c>
    </row>
    <row r="38" spans="1:16" x14ac:dyDescent="0.25">
      <c r="A38" s="3" t="s">
        <v>6</v>
      </c>
      <c r="B38" s="11">
        <v>120</v>
      </c>
      <c r="C38" s="11">
        <f>38.5/0.55</f>
        <v>70</v>
      </c>
      <c r="D38" s="10">
        <v>14</v>
      </c>
      <c r="E38" s="10">
        <v>41</v>
      </c>
      <c r="F38" s="10">
        <f>102*2</f>
        <v>204</v>
      </c>
      <c r="G38" s="10">
        <v>105.99999999999999</v>
      </c>
      <c r="H38" s="10">
        <f>63.8/0.55</f>
        <v>115.99999999999999</v>
      </c>
      <c r="I38" s="10">
        <f>42.9/0.55</f>
        <v>77.999999999999986</v>
      </c>
      <c r="J38" s="10">
        <v>92</v>
      </c>
      <c r="K38" s="11">
        <f>133.1/0.55</f>
        <v>241.99999999999997</v>
      </c>
      <c r="L38" s="10">
        <v>145.99999999999997</v>
      </c>
      <c r="M38" s="2"/>
      <c r="N38" s="10">
        <v>138</v>
      </c>
      <c r="O38" s="10">
        <v>84</v>
      </c>
      <c r="P38" s="15">
        <f>159.5/0.55</f>
        <v>290</v>
      </c>
    </row>
    <row r="39" spans="1:16" x14ac:dyDescent="0.25">
      <c r="A39" s="3" t="s">
        <v>7</v>
      </c>
      <c r="B39" s="11">
        <v>28</v>
      </c>
      <c r="C39" s="11">
        <f>111.1/0.55</f>
        <v>201.99999999999997</v>
      </c>
      <c r="D39" s="10">
        <v>120.99999999999999</v>
      </c>
      <c r="E39" s="10">
        <v>114</v>
      </c>
      <c r="F39" s="10">
        <f>38*2</f>
        <v>76</v>
      </c>
      <c r="G39" s="10">
        <v>31</v>
      </c>
      <c r="H39" s="10">
        <f>137.5/0.55</f>
        <v>249.99999999999997</v>
      </c>
      <c r="I39" s="10">
        <f>50.05/0.55</f>
        <v>90.999999999999986</v>
      </c>
      <c r="J39" s="10">
        <v>195.99999999999997</v>
      </c>
      <c r="K39" s="11">
        <f>64.9/0.55</f>
        <v>118</v>
      </c>
      <c r="L39" s="10">
        <v>273.99999999999994</v>
      </c>
      <c r="M39" s="10">
        <v>138</v>
      </c>
      <c r="N39" s="2"/>
      <c r="O39" s="41">
        <v>218</v>
      </c>
      <c r="P39" s="15">
        <f>91.3/0.55</f>
        <v>165.99999999999997</v>
      </c>
    </row>
    <row r="40" spans="1:16" ht="15.75" thickBot="1" x14ac:dyDescent="0.3">
      <c r="A40" s="31" t="s">
        <v>8</v>
      </c>
      <c r="B40" s="38">
        <v>197.2</v>
      </c>
      <c r="C40" s="41">
        <f>42.9/0.55</f>
        <v>77.999999999999986</v>
      </c>
      <c r="D40" s="39">
        <v>96</v>
      </c>
      <c r="E40" s="39">
        <v>124</v>
      </c>
      <c r="F40" s="39">
        <f>144*2</f>
        <v>288</v>
      </c>
      <c r="G40" s="39">
        <v>188</v>
      </c>
      <c r="H40" s="39">
        <f>40.7/0.55</f>
        <v>74</v>
      </c>
      <c r="I40" s="39">
        <f>86.35/0.55</f>
        <v>156.99999999999997</v>
      </c>
      <c r="J40" s="39">
        <v>47.999999999999993</v>
      </c>
      <c r="K40" s="38">
        <f>179.3/0.55</f>
        <v>326</v>
      </c>
      <c r="L40" s="39">
        <v>72</v>
      </c>
      <c r="M40" s="39">
        <v>84</v>
      </c>
      <c r="N40" s="39">
        <v>218</v>
      </c>
      <c r="O40" s="2"/>
      <c r="P40" s="44">
        <f>205.7/0.55</f>
        <v>373.99999999999994</v>
      </c>
    </row>
    <row r="41" spans="1:16" ht="15.75" thickBot="1" x14ac:dyDescent="0.3">
      <c r="A41" s="4" t="s">
        <v>42</v>
      </c>
      <c r="B41" s="13">
        <f>P27</f>
        <v>188</v>
      </c>
      <c r="C41" s="13">
        <f>195.8/0.55</f>
        <v>356</v>
      </c>
      <c r="D41" s="14">
        <f>P29</f>
        <v>306</v>
      </c>
      <c r="E41" s="14">
        <f>P30</f>
        <v>278</v>
      </c>
      <c r="F41" s="14">
        <f>54*2</f>
        <v>108</v>
      </c>
      <c r="G41" s="14">
        <f>102.3/0.55</f>
        <v>185.99999999999997</v>
      </c>
      <c r="H41" s="14">
        <f>225.5/0.55</f>
        <v>409.99999999999994</v>
      </c>
      <c r="I41" s="14">
        <f>135.3/0.55</f>
        <v>246</v>
      </c>
      <c r="J41" s="14">
        <f>195.8/0.55</f>
        <v>356</v>
      </c>
      <c r="K41" s="14">
        <f>37.4/0.55</f>
        <v>67.999999999999986</v>
      </c>
      <c r="L41" s="14">
        <f>P37</f>
        <v>467.99999999999994</v>
      </c>
      <c r="M41" s="14">
        <f>P38</f>
        <v>290</v>
      </c>
      <c r="N41" s="14">
        <f>P39</f>
        <v>165.99999999999997</v>
      </c>
      <c r="O41" s="30">
        <f>P40</f>
        <v>373.99999999999994</v>
      </c>
      <c r="P41" s="5"/>
    </row>
  </sheetData>
  <mergeCells count="2">
    <mergeCell ref="A2:P2"/>
    <mergeCell ref="A3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ED3F-0523-43B3-9497-47D891B0FB96}">
  <dimension ref="A1:D2"/>
  <sheetViews>
    <sheetView workbookViewId="0"/>
  </sheetViews>
  <sheetFormatPr defaultRowHeight="15" x14ac:dyDescent="0.25"/>
  <sheetData>
    <row r="1" spans="1:4" x14ac:dyDescent="0.25">
      <c r="A1">
        <v>1763477880414</v>
      </c>
      <c r="B1" t="s">
        <v>16</v>
      </c>
      <c r="C1" t="s">
        <v>17</v>
      </c>
      <c r="D1">
        <v>1</v>
      </c>
    </row>
    <row r="2" spans="1:4" x14ac:dyDescent="0.25">
      <c r="A2">
        <v>1763477880523</v>
      </c>
      <c r="B2" t="s">
        <v>18</v>
      </c>
      <c r="C2" t="s">
        <v>29</v>
      </c>
      <c r="D2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A05E-C0C3-4725-8F49-C30B61FC4D79}">
  <dimension ref="A1:D7"/>
  <sheetViews>
    <sheetView workbookViewId="0"/>
  </sheetViews>
  <sheetFormatPr defaultRowHeight="15" x14ac:dyDescent="0.25"/>
  <sheetData>
    <row r="1" spans="1:4" x14ac:dyDescent="0.25">
      <c r="A1">
        <v>1763477880458</v>
      </c>
      <c r="B1" t="s">
        <v>16</v>
      </c>
      <c r="C1" t="s">
        <v>17</v>
      </c>
      <c r="D1">
        <v>6</v>
      </c>
    </row>
    <row r="2" spans="1:4" x14ac:dyDescent="0.25">
      <c r="A2">
        <v>1763477880506</v>
      </c>
      <c r="B2" t="s">
        <v>18</v>
      </c>
      <c r="C2" t="s">
        <v>19</v>
      </c>
      <c r="D2" t="s">
        <v>20</v>
      </c>
    </row>
    <row r="3" spans="1:4" x14ac:dyDescent="0.25">
      <c r="A3">
        <v>1763477880512</v>
      </c>
      <c r="B3" t="s">
        <v>18</v>
      </c>
      <c r="C3" t="s">
        <v>21</v>
      </c>
      <c r="D3" t="s">
        <v>22</v>
      </c>
    </row>
    <row r="4" spans="1:4" x14ac:dyDescent="0.25">
      <c r="A4">
        <v>1763477880512</v>
      </c>
      <c r="B4" t="s">
        <v>18</v>
      </c>
      <c r="C4" t="s">
        <v>23</v>
      </c>
      <c r="D4" t="s">
        <v>24</v>
      </c>
    </row>
    <row r="5" spans="1:4" x14ac:dyDescent="0.25">
      <c r="A5">
        <v>1763477880512</v>
      </c>
      <c r="B5" t="s">
        <v>18</v>
      </c>
      <c r="C5" t="s">
        <v>25</v>
      </c>
      <c r="D5" t="s">
        <v>26</v>
      </c>
    </row>
    <row r="6" spans="1:4" x14ac:dyDescent="0.25">
      <c r="A6">
        <v>1763477880512</v>
      </c>
      <c r="B6" t="s">
        <v>18</v>
      </c>
      <c r="C6" t="s">
        <v>27</v>
      </c>
      <c r="D6" t="s">
        <v>28</v>
      </c>
    </row>
    <row r="7" spans="1:4" x14ac:dyDescent="0.25">
      <c r="A7">
        <v>1763478004457</v>
      </c>
      <c r="B7" t="s">
        <v>33</v>
      </c>
      <c r="C7" t="s">
        <v>21</v>
      </c>
      <c r="D7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9576-1D71-4968-9FF5-7792A9D19264}">
  <dimension ref="A1:D1"/>
  <sheetViews>
    <sheetView workbookViewId="0"/>
  </sheetViews>
  <sheetFormatPr defaultRowHeight="15" x14ac:dyDescent="0.25"/>
  <sheetData>
    <row r="1" spans="1:4" x14ac:dyDescent="0.25">
      <c r="A1">
        <v>1763477880470</v>
      </c>
      <c r="B1" t="s">
        <v>16</v>
      </c>
      <c r="C1" t="s">
        <v>17</v>
      </c>
      <c r="D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736C-89D5-4A85-95C2-58611BBDC33E}">
  <dimension ref="A1:D7"/>
  <sheetViews>
    <sheetView workbookViewId="0"/>
  </sheetViews>
  <sheetFormatPr defaultRowHeight="15" x14ac:dyDescent="0.25"/>
  <sheetData>
    <row r="1" spans="1:4" x14ac:dyDescent="0.25">
      <c r="A1">
        <v>1763477880494</v>
      </c>
      <c r="B1" t="s">
        <v>16</v>
      </c>
      <c r="C1" t="s">
        <v>17</v>
      </c>
      <c r="D1">
        <v>6</v>
      </c>
    </row>
    <row r="2" spans="1:4" x14ac:dyDescent="0.25">
      <c r="A2">
        <v>1763477937478</v>
      </c>
      <c r="B2" t="s">
        <v>18</v>
      </c>
      <c r="C2" t="s">
        <v>31</v>
      </c>
      <c r="D2" t="s">
        <v>32</v>
      </c>
    </row>
    <row r="3" spans="1:4" x14ac:dyDescent="0.25">
      <c r="A3">
        <v>1763477949486</v>
      </c>
      <c r="B3" t="s">
        <v>33</v>
      </c>
      <c r="C3" t="s">
        <v>31</v>
      </c>
      <c r="D3" t="s">
        <v>34</v>
      </c>
    </row>
    <row r="4" spans="1:4" x14ac:dyDescent="0.25">
      <c r="A4">
        <v>1763477965243</v>
      </c>
      <c r="B4" t="s">
        <v>33</v>
      </c>
      <c r="C4" t="s">
        <v>31</v>
      </c>
      <c r="D4" t="s">
        <v>35</v>
      </c>
    </row>
    <row r="5" spans="1:4" x14ac:dyDescent="0.25">
      <c r="A5">
        <v>1763477975989</v>
      </c>
      <c r="B5" t="s">
        <v>33</v>
      </c>
      <c r="C5" t="s">
        <v>31</v>
      </c>
      <c r="D5" t="s">
        <v>35</v>
      </c>
    </row>
    <row r="6" spans="1:4" x14ac:dyDescent="0.25">
      <c r="A6">
        <v>1763477979773</v>
      </c>
      <c r="B6" t="s">
        <v>33</v>
      </c>
      <c r="C6" t="s">
        <v>31</v>
      </c>
      <c r="D6" t="s">
        <v>36</v>
      </c>
    </row>
    <row r="7" spans="1:4" x14ac:dyDescent="0.25">
      <c r="A7">
        <v>1763478008719</v>
      </c>
      <c r="B7" t="s">
        <v>38</v>
      </c>
      <c r="C7" t="s">
        <v>31</v>
      </c>
      <c r="D7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Owen</dc:creator>
  <cp:lastModifiedBy>Mitchell Schut</cp:lastModifiedBy>
  <dcterms:created xsi:type="dcterms:W3CDTF">2025-10-15T11:23:26Z</dcterms:created>
  <dcterms:modified xsi:type="dcterms:W3CDTF">2026-05-15T16:30:24Z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7c0209-0049-4fa3-802d-b18399cd3e3b_Enabled">
    <vt:lpwstr>true</vt:lpwstr>
  </property>
  <property fmtid="{D5CDD505-2E9C-101B-9397-08002B2CF9AE}" pid="3" name="MSIP_Label_827c0209-0049-4fa3-802d-b18399cd3e3b_SetDate">
    <vt:lpwstr>2025-10-15T11:46:40Z</vt:lpwstr>
  </property>
  <property fmtid="{D5CDD505-2E9C-101B-9397-08002B2CF9AE}" pid="4" name="MSIP_Label_827c0209-0049-4fa3-802d-b18399cd3e3b_Method">
    <vt:lpwstr>Standard</vt:lpwstr>
  </property>
  <property fmtid="{D5CDD505-2E9C-101B-9397-08002B2CF9AE}" pid="5" name="MSIP_Label_827c0209-0049-4fa3-802d-b18399cd3e3b_Name">
    <vt:lpwstr>Public - test</vt:lpwstr>
  </property>
  <property fmtid="{D5CDD505-2E9C-101B-9397-08002B2CF9AE}" pid="6" name="MSIP_Label_827c0209-0049-4fa3-802d-b18399cd3e3b_SiteId">
    <vt:lpwstr>296ae229-6f10-4f4a-a0d6-f390ed73d8e3</vt:lpwstr>
  </property>
  <property fmtid="{D5CDD505-2E9C-101B-9397-08002B2CF9AE}" pid="7" name="MSIP_Label_827c0209-0049-4fa3-802d-b18399cd3e3b_ActionId">
    <vt:lpwstr>2bd8f601-6779-4aa3-869d-53322b712f73</vt:lpwstr>
  </property>
  <property fmtid="{D5CDD505-2E9C-101B-9397-08002B2CF9AE}" pid="8" name="MSIP_Label_827c0209-0049-4fa3-802d-b18399cd3e3b_ContentBits">
    <vt:lpwstr>0</vt:lpwstr>
  </property>
  <property fmtid="{D5CDD505-2E9C-101B-9397-08002B2CF9AE}" pid="9" name="MSIP_Label_827c0209-0049-4fa3-802d-b18399cd3e3b_Tag">
    <vt:lpwstr>10, 3, 0, 1</vt:lpwstr>
  </property>
</Properties>
</file>