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Trishe/Desktop/DON/TCMBHA Treasurer/CONSOLIDATED FINANCIALS/"/>
    </mc:Choice>
  </mc:AlternateContent>
  <bookViews>
    <workbookView xWindow="16020" yWindow="720" windowWidth="25480" windowHeight="20640"/>
  </bookViews>
  <sheets>
    <sheet name="P&amp;L Consolidated 2018" sheetId="5" r:id="rId1"/>
    <sheet name="P&amp;L Consolidated 2017" sheetId="1" r:id="rId2"/>
    <sheet name="P&amp;L Consolidated 2016" sheetId="3" r:id="rId3"/>
    <sheet name="P&amp;L Consolidated 2015" sheetId="4" r:id="rId4"/>
  </sheets>
  <definedNames>
    <definedName name="_xlnm.Print_Area" localSheetId="3">'P&amp;L Consolidated 2015'!$A$1:$D$39</definedName>
    <definedName name="_xlnm.Print_Area" localSheetId="2">'P&amp;L Consolidated 2016'!$A$1:$D$41</definedName>
    <definedName name="_xlnm.Print_Area" localSheetId="1">'P&amp;L Consolidated 2017'!$A$1:$D$38</definedName>
    <definedName name="_xlnm.Print_Area" localSheetId="0">'P&amp;L Consolidated 2018'!$A$1:$D$39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4" i="4" l="1"/>
  <c r="D35" i="4"/>
  <c r="D36" i="4"/>
  <c r="D37" i="4"/>
  <c r="C37" i="4"/>
  <c r="B37" i="4"/>
  <c r="C39" i="3"/>
  <c r="D38" i="3"/>
  <c r="D37" i="3"/>
  <c r="D35" i="3"/>
  <c r="D39" i="3"/>
  <c r="B39" i="3"/>
  <c r="B39" i="5"/>
  <c r="D35" i="5"/>
  <c r="D36" i="5"/>
  <c r="D37" i="5"/>
  <c r="D38" i="5"/>
  <c r="D39" i="5"/>
  <c r="C39" i="5"/>
  <c r="D38" i="1"/>
  <c r="C38" i="1"/>
  <c r="B38" i="1"/>
  <c r="D7" i="5"/>
  <c r="D8" i="5"/>
  <c r="D9" i="5"/>
  <c r="D10" i="5"/>
  <c r="D11" i="5"/>
  <c r="D12" i="5"/>
  <c r="D13" i="5"/>
  <c r="D16" i="5"/>
  <c r="D17" i="5"/>
  <c r="D18" i="5"/>
  <c r="D19" i="5"/>
  <c r="D20" i="5"/>
  <c r="D27" i="5"/>
  <c r="D21" i="5"/>
  <c r="D22" i="5"/>
  <c r="D23" i="5"/>
  <c r="D24" i="5"/>
  <c r="D25" i="5"/>
  <c r="D26" i="5"/>
  <c r="D28" i="5"/>
  <c r="D29" i="5"/>
  <c r="D30" i="5"/>
  <c r="D31" i="5"/>
  <c r="D32" i="5"/>
  <c r="D33" i="5"/>
  <c r="C32" i="5"/>
  <c r="C13" i="5"/>
  <c r="B32" i="5"/>
  <c r="B13" i="5"/>
  <c r="B14" i="5"/>
  <c r="C14" i="5"/>
  <c r="D14" i="5"/>
  <c r="B33" i="5"/>
  <c r="C33" i="5"/>
  <c r="D31" i="4"/>
  <c r="C31" i="4"/>
  <c r="B31" i="4"/>
  <c r="D15" i="4"/>
  <c r="D17" i="3"/>
  <c r="D14" i="1"/>
  <c r="C28" i="4"/>
  <c r="C9" i="4"/>
  <c r="D9" i="4"/>
  <c r="B30" i="4"/>
  <c r="D30" i="4"/>
  <c r="B29" i="4"/>
  <c r="D29" i="4"/>
  <c r="B28" i="4"/>
  <c r="D28" i="4"/>
  <c r="B27" i="4"/>
  <c r="D27" i="4"/>
  <c r="B26" i="4"/>
  <c r="D26" i="4"/>
  <c r="B25" i="4"/>
  <c r="D25" i="4"/>
  <c r="B24" i="4"/>
  <c r="D24" i="4"/>
  <c r="B23" i="4"/>
  <c r="D23" i="4"/>
  <c r="B22" i="4"/>
  <c r="D22" i="4"/>
  <c r="B21" i="4"/>
  <c r="D21" i="4"/>
  <c r="B20" i="4"/>
  <c r="D20" i="4"/>
  <c r="B19" i="4"/>
  <c r="D19" i="4"/>
  <c r="B18" i="4"/>
  <c r="D18" i="4"/>
  <c r="B17" i="4"/>
  <c r="D17" i="4"/>
  <c r="B16" i="4"/>
  <c r="D16" i="4"/>
  <c r="B11" i="4"/>
  <c r="D11" i="4"/>
  <c r="B10" i="4"/>
  <c r="D10" i="4"/>
  <c r="B8" i="4"/>
  <c r="D8" i="4"/>
  <c r="B7" i="4"/>
  <c r="D7" i="4"/>
  <c r="D12" i="4"/>
  <c r="D13" i="4"/>
  <c r="D32" i="4"/>
  <c r="C12" i="4"/>
  <c r="C13" i="4"/>
  <c r="C32" i="4"/>
  <c r="B12" i="4"/>
  <c r="B13" i="4"/>
  <c r="B32" i="4"/>
  <c r="B7" i="3"/>
  <c r="D7" i="3"/>
  <c r="B8" i="3"/>
  <c r="D8" i="3"/>
  <c r="C9" i="3"/>
  <c r="D9" i="3"/>
  <c r="B10" i="3"/>
  <c r="D10" i="3"/>
  <c r="B11" i="3"/>
  <c r="D11" i="3"/>
  <c r="B12" i="3"/>
  <c r="D12" i="3"/>
  <c r="B13" i="3"/>
  <c r="D13" i="3"/>
  <c r="B14" i="3"/>
  <c r="C14" i="3"/>
  <c r="D14" i="3"/>
  <c r="B15" i="3"/>
  <c r="C15" i="3"/>
  <c r="D15" i="3"/>
  <c r="B18" i="3"/>
  <c r="D18" i="3"/>
  <c r="B19" i="3"/>
  <c r="D19" i="3"/>
  <c r="B20" i="3"/>
  <c r="D20" i="3"/>
  <c r="B21" i="3"/>
  <c r="D21" i="3"/>
  <c r="C36" i="3"/>
  <c r="D36" i="3"/>
  <c r="C38" i="3"/>
  <c r="B22" i="3"/>
  <c r="D22" i="3"/>
  <c r="B23" i="3"/>
  <c r="D23" i="3"/>
  <c r="B24" i="3"/>
  <c r="D24" i="3"/>
  <c r="B25" i="3"/>
  <c r="D25" i="3"/>
  <c r="B26" i="3"/>
  <c r="D26" i="3"/>
  <c r="B27" i="3"/>
  <c r="D27" i="3"/>
  <c r="B28" i="3"/>
  <c r="D28" i="3"/>
  <c r="B29" i="3"/>
  <c r="D29" i="3"/>
  <c r="B30" i="3"/>
  <c r="D30" i="3"/>
  <c r="B31" i="3"/>
  <c r="C31" i="3"/>
  <c r="D31" i="3"/>
  <c r="B32" i="3"/>
  <c r="C32" i="3"/>
  <c r="D32" i="3"/>
  <c r="B33" i="3"/>
  <c r="C33" i="3"/>
  <c r="D33" i="3"/>
  <c r="C8" i="1"/>
  <c r="D8" i="1"/>
  <c r="D7" i="1"/>
  <c r="B9" i="1"/>
  <c r="D9" i="1"/>
  <c r="D10" i="1"/>
  <c r="D11" i="1"/>
  <c r="C11" i="1"/>
  <c r="B11" i="1"/>
  <c r="D37" i="1"/>
  <c r="C36" i="1"/>
  <c r="D36" i="1"/>
  <c r="C35" i="1"/>
  <c r="D35" i="1"/>
  <c r="C34" i="1"/>
  <c r="D34" i="1"/>
  <c r="B15" i="1"/>
  <c r="D15" i="1"/>
  <c r="B16" i="1"/>
  <c r="D16" i="1"/>
  <c r="B17" i="1"/>
  <c r="D17" i="1"/>
  <c r="B18" i="1"/>
  <c r="D18" i="1"/>
  <c r="B19" i="1"/>
  <c r="D19" i="1"/>
  <c r="B20" i="1"/>
  <c r="D20" i="1"/>
  <c r="B21" i="1"/>
  <c r="D21" i="1"/>
  <c r="B22" i="1"/>
  <c r="D22" i="1"/>
  <c r="B23" i="1"/>
  <c r="D23" i="1"/>
  <c r="B24" i="1"/>
  <c r="D24" i="1"/>
  <c r="B25" i="1"/>
  <c r="D25" i="1"/>
  <c r="B26" i="1"/>
  <c r="C26" i="1"/>
  <c r="D26" i="1"/>
  <c r="B27" i="1"/>
  <c r="D27" i="1"/>
  <c r="B28" i="1"/>
  <c r="D28" i="1"/>
  <c r="B29" i="1"/>
  <c r="D29" i="1"/>
  <c r="B30" i="1"/>
  <c r="D30" i="1"/>
  <c r="D31" i="1"/>
  <c r="C31" i="1"/>
  <c r="B31" i="1"/>
  <c r="D12" i="1"/>
  <c r="D32" i="1"/>
  <c r="C12" i="1"/>
  <c r="C32" i="1"/>
  <c r="B12" i="1"/>
  <c r="B32" i="1"/>
</calcChain>
</file>

<file path=xl/sharedStrings.xml><?xml version="1.0" encoding="utf-8"?>
<sst xmlns="http://schemas.openxmlformats.org/spreadsheetml/2006/main" count="153" uniqueCount="52">
  <si>
    <t>Income</t>
  </si>
  <si>
    <t xml:space="preserve">   League Registration Fees</t>
  </si>
  <si>
    <t xml:space="preserve">   Other Income</t>
  </si>
  <si>
    <t xml:space="preserve">   Refunds-Allowances</t>
  </si>
  <si>
    <t>Total Income</t>
  </si>
  <si>
    <t>Gross Profit</t>
  </si>
  <si>
    <t>Expenses</t>
  </si>
  <si>
    <t xml:space="preserve">   Referee Expense</t>
  </si>
  <si>
    <t xml:space="preserve">   Program Director Fees</t>
  </si>
  <si>
    <t xml:space="preserve">   Dry Floor Rental</t>
  </si>
  <si>
    <t xml:space="preserve">   Uniforms</t>
  </si>
  <si>
    <t xml:space="preserve">   Insurance</t>
  </si>
  <si>
    <t xml:space="preserve">   Registration &amp; Website Expense</t>
  </si>
  <si>
    <t xml:space="preserve">   Storage</t>
  </si>
  <si>
    <t xml:space="preserve">   Player Equipment &amp; Supplies</t>
  </si>
  <si>
    <t xml:space="preserve">   Year End Awards</t>
  </si>
  <si>
    <t xml:space="preserve">   Meetings and Clinics</t>
  </si>
  <si>
    <t xml:space="preserve">   Office Expenses</t>
  </si>
  <si>
    <t xml:space="preserve">   Legal and professional fees</t>
  </si>
  <si>
    <t xml:space="preserve">   Bank Charges</t>
  </si>
  <si>
    <t xml:space="preserve">   RIS Reimbursements Expense</t>
  </si>
  <si>
    <t xml:space="preserve">   Miscellaneous</t>
  </si>
  <si>
    <t xml:space="preserve">   Interest expense</t>
  </si>
  <si>
    <t xml:space="preserve">   WCC Expense</t>
  </si>
  <si>
    <t>Total Expenses</t>
  </si>
  <si>
    <t>Profit</t>
  </si>
  <si>
    <t>TCMBHA</t>
  </si>
  <si>
    <t>Profit and Loss</t>
  </si>
  <si>
    <t>October 2016 - September 2017</t>
  </si>
  <si>
    <t xml:space="preserve">   Dry Floor Rental - Port Moody</t>
  </si>
  <si>
    <t xml:space="preserve">   Dry Floor Rental - Port Coquitlam</t>
  </si>
  <si>
    <t xml:space="preserve">   Dry Floor Rental - Coquitlam Rec</t>
  </si>
  <si>
    <t xml:space="preserve">   Dry Floor Rental - Coquitlam Forum</t>
  </si>
  <si>
    <t xml:space="preserve">   Government Gaming Grant</t>
  </si>
  <si>
    <t>Operating</t>
  </si>
  <si>
    <t>Gaming</t>
  </si>
  <si>
    <t>Consolidated</t>
  </si>
  <si>
    <t xml:space="preserve">   Provincial Expenses</t>
  </si>
  <si>
    <t xml:space="preserve">   WCC Fees</t>
  </si>
  <si>
    <t xml:space="preserve">   Provincial Revenues</t>
  </si>
  <si>
    <t xml:space="preserve">   Municipal Grant</t>
  </si>
  <si>
    <t>October 2015 - September 2016</t>
  </si>
  <si>
    <t xml:space="preserve">   Provincials</t>
  </si>
  <si>
    <t>October 2014 - September 2015</t>
  </si>
  <si>
    <t>October 2017 - September 2018</t>
  </si>
  <si>
    <t xml:space="preserve">      Municipal Grant</t>
  </si>
  <si>
    <t xml:space="preserve">      League Registration Fees</t>
  </si>
  <si>
    <t xml:space="preserve">      Other Income</t>
  </si>
  <si>
    <t xml:space="preserve">      Refunds-Allowances</t>
  </si>
  <si>
    <t xml:space="preserve">      WCC Fees</t>
  </si>
  <si>
    <t xml:space="preserve">      Government Gaming Grant</t>
  </si>
  <si>
    <t>Total Dry Floor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</si>
</sst>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7"/>
      <color indexed="8"/>
      <name val="Arial"/>
    </font>
    <font>
      <sz val="17"/>
      <color indexed="8"/>
      <name val="Calibri"/>
      <family val="2"/>
      <scheme val="minor"/>
    </font>
    <font>
      <sz val="17"/>
      <color indexed="8"/>
      <name val="Arial"/>
    </font>
    <font>
      <sz val="18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/>
    <xf numFmtId="164" fontId="4" fillId="0" borderId="4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40"/>
  <sheetViews>
    <sheetView tabSelected="1" zoomScale="90" zoomScaleNormal="90" zoomScalePageLayoutView="90" workbookViewId="0">
      <selection activeCell="B26" sqref="B26"/>
    </sheetView>
  </sheetViews>
  <sheetFormatPr baseColWidth="10" defaultColWidth="8.83203125" defaultRowHeight="24" x14ac:dyDescent="0.3"/>
  <cols>
    <col min="1" max="1" width="60.83203125" style="9" customWidth="1"/>
    <col min="2" max="4" width="25.83203125" style="9" customWidth="1"/>
    <col min="5" max="16384" width="8.83203125" style="9"/>
  </cols>
  <sheetData>
    <row r="1" spans="1:4" ht="23" customHeight="1" x14ac:dyDescent="0.3">
      <c r="A1" s="14" t="s">
        <v>26</v>
      </c>
      <c r="B1" s="14"/>
      <c r="C1" s="14"/>
      <c r="D1" s="14"/>
    </row>
    <row r="2" spans="1:4" ht="23" customHeight="1" x14ac:dyDescent="0.3">
      <c r="A2" s="14" t="s">
        <v>27</v>
      </c>
      <c r="B2" s="14"/>
      <c r="C2" s="14"/>
      <c r="D2" s="14"/>
    </row>
    <row r="3" spans="1:4" ht="23" customHeight="1" x14ac:dyDescent="0.3">
      <c r="A3" s="14" t="s">
        <v>44</v>
      </c>
      <c r="B3" s="14"/>
      <c r="C3" s="14"/>
      <c r="D3" s="14"/>
    </row>
    <row r="4" spans="1:4" ht="23" customHeight="1" x14ac:dyDescent="0.3">
      <c r="A4" s="11"/>
      <c r="B4" s="11"/>
      <c r="C4" s="11"/>
      <c r="D4" s="11"/>
    </row>
    <row r="5" spans="1:4" ht="23" customHeight="1" x14ac:dyDescent="0.3">
      <c r="A5" s="2"/>
      <c r="B5" s="3" t="s">
        <v>34</v>
      </c>
      <c r="C5" s="3" t="s">
        <v>35</v>
      </c>
      <c r="D5" s="3" t="s">
        <v>36</v>
      </c>
    </row>
    <row r="6" spans="1:4" ht="23" customHeight="1" x14ac:dyDescent="0.3">
      <c r="A6" s="4" t="s">
        <v>0</v>
      </c>
      <c r="B6" s="5"/>
      <c r="C6" s="5"/>
      <c r="D6" s="5"/>
    </row>
    <row r="7" spans="1:4" ht="23" customHeight="1" x14ac:dyDescent="0.3">
      <c r="A7" s="4" t="s">
        <v>46</v>
      </c>
      <c r="B7" s="6">
        <v>78675</v>
      </c>
      <c r="C7" s="6"/>
      <c r="D7" s="6">
        <f t="shared" ref="D7:D12" si="0">B7+C7</f>
        <v>78675</v>
      </c>
    </row>
    <row r="8" spans="1:4" s="10" customFormat="1" ht="23" customHeight="1" x14ac:dyDescent="0.3">
      <c r="A8" s="4" t="s">
        <v>50</v>
      </c>
      <c r="B8" s="6"/>
      <c r="C8" s="6">
        <v>22860</v>
      </c>
      <c r="D8" s="6">
        <f t="shared" si="0"/>
        <v>22860</v>
      </c>
    </row>
    <row r="9" spans="1:4" s="10" customFormat="1" ht="23" customHeight="1" x14ac:dyDescent="0.3">
      <c r="A9" s="4" t="s">
        <v>45</v>
      </c>
      <c r="B9" s="6">
        <v>18516.29</v>
      </c>
      <c r="C9" s="6"/>
      <c r="D9" s="6">
        <f t="shared" si="0"/>
        <v>18516.29</v>
      </c>
    </row>
    <row r="10" spans="1:4" s="10" customFormat="1" ht="23" customHeight="1" x14ac:dyDescent="0.3">
      <c r="A10" s="4" t="s">
        <v>49</v>
      </c>
      <c r="B10" s="6">
        <v>3750</v>
      </c>
      <c r="C10" s="6"/>
      <c r="D10" s="6">
        <f t="shared" si="0"/>
        <v>3750</v>
      </c>
    </row>
    <row r="11" spans="1:4" ht="23" customHeight="1" x14ac:dyDescent="0.3">
      <c r="A11" s="4" t="s">
        <v>47</v>
      </c>
      <c r="B11" s="6">
        <v>685.77</v>
      </c>
      <c r="C11" s="6"/>
      <c r="D11" s="6">
        <f t="shared" si="0"/>
        <v>685.77</v>
      </c>
    </row>
    <row r="12" spans="1:4" ht="23" customHeight="1" x14ac:dyDescent="0.3">
      <c r="A12" s="4" t="s">
        <v>48</v>
      </c>
      <c r="B12" s="6">
        <v>-2025</v>
      </c>
      <c r="C12" s="6"/>
      <c r="D12" s="6">
        <f t="shared" si="0"/>
        <v>-2025</v>
      </c>
    </row>
    <row r="13" spans="1:4" ht="23" customHeight="1" x14ac:dyDescent="0.3">
      <c r="A13" s="4" t="s">
        <v>4</v>
      </c>
      <c r="B13" s="7">
        <f>SUM(B7:B12)</f>
        <v>99602.060000000012</v>
      </c>
      <c r="C13" s="7">
        <f>SUM(C7:C12)</f>
        <v>22860</v>
      </c>
      <c r="D13" s="7">
        <f>SUM(D7:D12)</f>
        <v>122462.06000000001</v>
      </c>
    </row>
    <row r="14" spans="1:4" ht="23" customHeight="1" x14ac:dyDescent="0.3">
      <c r="A14" s="4" t="s">
        <v>5</v>
      </c>
      <c r="B14" s="7">
        <f>(B13)-(0)</f>
        <v>99602.060000000012</v>
      </c>
      <c r="C14" s="7">
        <f>(C13)-(0)</f>
        <v>22860</v>
      </c>
      <c r="D14" s="7">
        <f>(D13)-(0)</f>
        <v>122462.06000000001</v>
      </c>
    </row>
    <row r="15" spans="1:4" ht="23" customHeight="1" x14ac:dyDescent="0.3">
      <c r="A15" s="4" t="s">
        <v>6</v>
      </c>
      <c r="B15" s="5"/>
      <c r="C15" s="5"/>
      <c r="D15" s="5"/>
    </row>
    <row r="16" spans="1:4" ht="23" customHeight="1" x14ac:dyDescent="0.3">
      <c r="A16" s="4" t="s">
        <v>14</v>
      </c>
      <c r="B16" s="6">
        <v>39515.160000000003</v>
      </c>
      <c r="C16" s="6"/>
      <c r="D16" s="6">
        <f t="shared" ref="D16:D31" si="1">B16+C16</f>
        <v>39515.160000000003</v>
      </c>
    </row>
    <row r="17" spans="1:4" s="10" customFormat="1" ht="23" customHeight="1" x14ac:dyDescent="0.3">
      <c r="A17" s="4" t="s">
        <v>9</v>
      </c>
      <c r="B17" s="6">
        <v>7895.25</v>
      </c>
      <c r="C17" s="6">
        <v>21364.12</v>
      </c>
      <c r="D17" s="6">
        <f>B17+C17</f>
        <v>29259.37</v>
      </c>
    </row>
    <row r="18" spans="1:4" s="10" customFormat="1" ht="23" customHeight="1" x14ac:dyDescent="0.3">
      <c r="A18" s="4" t="s">
        <v>7</v>
      </c>
      <c r="B18" s="6">
        <v>10575</v>
      </c>
      <c r="C18" s="6"/>
      <c r="D18" s="6">
        <f t="shared" si="1"/>
        <v>10575</v>
      </c>
    </row>
    <row r="19" spans="1:4" s="10" customFormat="1" ht="23" customHeight="1" x14ac:dyDescent="0.3">
      <c r="A19" s="4" t="s">
        <v>8</v>
      </c>
      <c r="B19" s="6">
        <v>10000</v>
      </c>
      <c r="C19" s="6"/>
      <c r="D19" s="6">
        <f t="shared" si="1"/>
        <v>10000</v>
      </c>
    </row>
    <row r="20" spans="1:4" s="10" customFormat="1" ht="23" customHeight="1" x14ac:dyDescent="0.3">
      <c r="A20" s="4" t="s">
        <v>11</v>
      </c>
      <c r="B20" s="6">
        <v>8281</v>
      </c>
      <c r="C20" s="6"/>
      <c r="D20" s="6">
        <f t="shared" ref="D20:D23" si="2">B20+C20</f>
        <v>8281</v>
      </c>
    </row>
    <row r="21" spans="1:4" s="10" customFormat="1" ht="23" customHeight="1" x14ac:dyDescent="0.3">
      <c r="A21" s="4" t="s">
        <v>10</v>
      </c>
      <c r="B21" s="6">
        <v>5664.95</v>
      </c>
      <c r="C21" s="6"/>
      <c r="D21" s="6">
        <f t="shared" si="2"/>
        <v>5664.95</v>
      </c>
    </row>
    <row r="22" spans="1:4" s="10" customFormat="1" ht="23" customHeight="1" x14ac:dyDescent="0.3">
      <c r="A22" s="4" t="s">
        <v>23</v>
      </c>
      <c r="B22" s="6">
        <v>4323.41</v>
      </c>
      <c r="C22" s="6"/>
      <c r="D22" s="6">
        <f t="shared" si="2"/>
        <v>4323.41</v>
      </c>
    </row>
    <row r="23" spans="1:4" s="10" customFormat="1" ht="23" customHeight="1" x14ac:dyDescent="0.3">
      <c r="A23" s="4" t="s">
        <v>12</v>
      </c>
      <c r="B23" s="6">
        <v>3945.61</v>
      </c>
      <c r="C23" s="6"/>
      <c r="D23" s="6">
        <f t="shared" si="2"/>
        <v>3945.61</v>
      </c>
    </row>
    <row r="24" spans="1:4" ht="23" customHeight="1" x14ac:dyDescent="0.3">
      <c r="A24" s="4" t="s">
        <v>13</v>
      </c>
      <c r="B24" s="6">
        <v>3918.4</v>
      </c>
      <c r="C24" s="6"/>
      <c r="D24" s="6">
        <f t="shared" si="1"/>
        <v>3918.4</v>
      </c>
    </row>
    <row r="25" spans="1:4" ht="23" customHeight="1" x14ac:dyDescent="0.3">
      <c r="A25" s="4" t="s">
        <v>15</v>
      </c>
      <c r="B25" s="6">
        <v>1158.3800000000001</v>
      </c>
      <c r="C25" s="6"/>
      <c r="D25" s="6">
        <f>B25+C25</f>
        <v>1158.3800000000001</v>
      </c>
    </row>
    <row r="26" spans="1:4" ht="23" customHeight="1" x14ac:dyDescent="0.3">
      <c r="A26" s="4" t="s">
        <v>16</v>
      </c>
      <c r="B26" s="6">
        <v>960.43</v>
      </c>
      <c r="C26" s="6"/>
      <c r="D26" s="6">
        <f>B26+C26</f>
        <v>960.43</v>
      </c>
    </row>
    <row r="27" spans="1:4" s="10" customFormat="1" ht="23" customHeight="1" x14ac:dyDescent="0.3">
      <c r="A27" s="4" t="s">
        <v>21</v>
      </c>
      <c r="B27" s="6">
        <v>818.01</v>
      </c>
      <c r="C27" s="6"/>
      <c r="D27" s="6">
        <f>B27+C27</f>
        <v>818.01</v>
      </c>
    </row>
    <row r="28" spans="1:4" ht="23" customHeight="1" x14ac:dyDescent="0.3">
      <c r="A28" s="4" t="s">
        <v>17</v>
      </c>
      <c r="B28" s="6">
        <v>559.23</v>
      </c>
      <c r="C28" s="6"/>
      <c r="D28" s="6">
        <f t="shared" si="1"/>
        <v>559.23</v>
      </c>
    </row>
    <row r="29" spans="1:4" ht="23" customHeight="1" x14ac:dyDescent="0.3">
      <c r="A29" s="4" t="s">
        <v>19</v>
      </c>
      <c r="B29" s="6">
        <v>190.6</v>
      </c>
      <c r="C29" s="6">
        <v>72.2</v>
      </c>
      <c r="D29" s="6">
        <f t="shared" si="1"/>
        <v>262.8</v>
      </c>
    </row>
    <row r="30" spans="1:4" ht="23" customHeight="1" x14ac:dyDescent="0.3">
      <c r="A30" s="4" t="s">
        <v>18</v>
      </c>
      <c r="B30" s="6">
        <v>150</v>
      </c>
      <c r="C30" s="6"/>
      <c r="D30" s="6">
        <f t="shared" si="1"/>
        <v>150</v>
      </c>
    </row>
    <row r="31" spans="1:4" ht="23" customHeight="1" x14ac:dyDescent="0.3">
      <c r="A31" s="4" t="s">
        <v>20</v>
      </c>
      <c r="B31" s="6">
        <v>94.5</v>
      </c>
      <c r="C31" s="6"/>
      <c r="D31" s="6">
        <f t="shared" si="1"/>
        <v>94.5</v>
      </c>
    </row>
    <row r="32" spans="1:4" ht="23" customHeight="1" x14ac:dyDescent="0.3">
      <c r="A32" s="4" t="s">
        <v>24</v>
      </c>
      <c r="B32" s="7">
        <f>SUM(B16:B31)</f>
        <v>98049.93</v>
      </c>
      <c r="C32" s="7">
        <f>SUM(C16:C31)</f>
        <v>21436.32</v>
      </c>
      <c r="D32" s="7">
        <f>SUM(D16:D31)</f>
        <v>119486.24999999999</v>
      </c>
    </row>
    <row r="33" spans="1:4" ht="23" customHeight="1" x14ac:dyDescent="0.3">
      <c r="A33" s="4" t="s">
        <v>25</v>
      </c>
      <c r="B33" s="7">
        <f>(((B14)-(B32))+(0))-(0)</f>
        <v>1552.1300000000192</v>
      </c>
      <c r="C33" s="7">
        <f>(((C14)-(C32))+(0))-(0)</f>
        <v>1423.6800000000003</v>
      </c>
      <c r="D33" s="7">
        <f>D13-D32</f>
        <v>2975.8100000000268</v>
      </c>
    </row>
    <row r="34" spans="1:4" ht="23" customHeight="1" x14ac:dyDescent="0.3">
      <c r="A34" s="4"/>
      <c r="B34" s="5"/>
      <c r="C34" s="5"/>
      <c r="D34" s="5"/>
    </row>
    <row r="35" spans="1:4" ht="23" customHeight="1" x14ac:dyDescent="0.3">
      <c r="A35" s="4" t="s">
        <v>32</v>
      </c>
      <c r="B35" s="6">
        <v>3963.63</v>
      </c>
      <c r="C35" s="6">
        <v>0</v>
      </c>
      <c r="D35" s="6">
        <f>B35+C35</f>
        <v>3963.63</v>
      </c>
    </row>
    <row r="36" spans="1:4" ht="23" customHeight="1" x14ac:dyDescent="0.3">
      <c r="A36" s="4" t="s">
        <v>31</v>
      </c>
      <c r="B36" s="6">
        <v>1477.77</v>
      </c>
      <c r="C36" s="6">
        <v>1500</v>
      </c>
      <c r="D36" s="6">
        <f>B36+C36</f>
        <v>2977.77</v>
      </c>
    </row>
    <row r="37" spans="1:4" ht="23" customHeight="1" x14ac:dyDescent="0.3">
      <c r="A37" s="4" t="s">
        <v>30</v>
      </c>
      <c r="B37" s="6">
        <v>2453.85</v>
      </c>
      <c r="C37" s="6">
        <v>1765.05</v>
      </c>
      <c r="D37" s="6">
        <f>B37+C37</f>
        <v>4218.8999999999996</v>
      </c>
    </row>
    <row r="38" spans="1:4" ht="23" customHeight="1" x14ac:dyDescent="0.3">
      <c r="A38" s="4" t="s">
        <v>29</v>
      </c>
      <c r="B38" s="6">
        <v>0</v>
      </c>
      <c r="C38" s="6">
        <v>18099.07</v>
      </c>
      <c r="D38" s="6">
        <f>B38+C38</f>
        <v>18099.07</v>
      </c>
    </row>
    <row r="39" spans="1:4" s="12" customFormat="1" ht="27" customHeight="1" thickBot="1" x14ac:dyDescent="0.35">
      <c r="A39" s="4" t="s">
        <v>51</v>
      </c>
      <c r="B39" s="13">
        <f>SUM(B35:B38)</f>
        <v>7895.25</v>
      </c>
      <c r="C39" s="13">
        <f>SUM(C35:C38)</f>
        <v>21364.12</v>
      </c>
      <c r="D39" s="13">
        <f>SUM(D35:D38)</f>
        <v>29259.37</v>
      </c>
    </row>
    <row r="40" spans="1:4" ht="23" customHeight="1" thickTop="1" x14ac:dyDescent="0.3"/>
  </sheetData>
  <mergeCells count="3">
    <mergeCell ref="A1:D1"/>
    <mergeCell ref="A2:D2"/>
    <mergeCell ref="A3:D3"/>
  </mergeCells>
  <phoneticPr fontId="1" type="noConversion"/>
  <pageMargins left="0.7" right="0.7" top="0.75" bottom="0.75" header="0.3" footer="0.3"/>
  <pageSetup scale="61" orientation="portrait" horizontalDpi="0" verticalDpi="0" copies="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40"/>
  <sheetViews>
    <sheetView topLeftCell="A2" zoomScale="90" zoomScaleNormal="90" zoomScalePageLayoutView="90" workbookViewId="0">
      <selection activeCell="D34" sqref="D34"/>
    </sheetView>
  </sheetViews>
  <sheetFormatPr baseColWidth="10" defaultColWidth="8.83203125" defaultRowHeight="23" x14ac:dyDescent="0.3"/>
  <cols>
    <col min="1" max="1" width="60.83203125" style="1" customWidth="1"/>
    <col min="2" max="4" width="25.83203125" style="1" customWidth="1"/>
    <col min="5" max="16384" width="8.83203125" style="1"/>
  </cols>
  <sheetData>
    <row r="1" spans="1:4" x14ac:dyDescent="0.3">
      <c r="A1" s="14" t="s">
        <v>26</v>
      </c>
      <c r="B1" s="14"/>
      <c r="C1" s="14"/>
      <c r="D1" s="14"/>
    </row>
    <row r="2" spans="1:4" x14ac:dyDescent="0.3">
      <c r="A2" s="14" t="s">
        <v>27</v>
      </c>
      <c r="B2" s="14"/>
      <c r="C2" s="14"/>
      <c r="D2" s="14"/>
    </row>
    <row r="3" spans="1:4" x14ac:dyDescent="0.3">
      <c r="A3" s="14" t="s">
        <v>28</v>
      </c>
      <c r="B3" s="14"/>
      <c r="C3" s="14"/>
      <c r="D3" s="14"/>
    </row>
    <row r="5" spans="1:4" x14ac:dyDescent="0.3">
      <c r="A5" s="2"/>
      <c r="B5" s="3" t="s">
        <v>34</v>
      </c>
      <c r="C5" s="3" t="s">
        <v>35</v>
      </c>
      <c r="D5" s="3" t="s">
        <v>36</v>
      </c>
    </row>
    <row r="6" spans="1:4" x14ac:dyDescent="0.3">
      <c r="A6" s="4" t="s">
        <v>0</v>
      </c>
      <c r="B6" s="5"/>
      <c r="C6" s="5"/>
      <c r="D6" s="5"/>
    </row>
    <row r="7" spans="1:4" x14ac:dyDescent="0.3">
      <c r="A7" s="4" t="s">
        <v>1</v>
      </c>
      <c r="B7" s="6">
        <v>82065</v>
      </c>
      <c r="C7" s="6"/>
      <c r="D7" s="6">
        <f>B7+C7</f>
        <v>82065</v>
      </c>
    </row>
    <row r="8" spans="1:4" x14ac:dyDescent="0.3">
      <c r="A8" s="4" t="s">
        <v>33</v>
      </c>
      <c r="B8" s="6"/>
      <c r="C8" s="6">
        <f>22860</f>
        <v>22860</v>
      </c>
      <c r="D8" s="6">
        <f>B8+C8</f>
        <v>22860</v>
      </c>
    </row>
    <row r="9" spans="1:4" x14ac:dyDescent="0.3">
      <c r="A9" s="4" t="s">
        <v>2</v>
      </c>
      <c r="B9" s="6">
        <f>822.12</f>
        <v>822.12</v>
      </c>
      <c r="C9" s="6"/>
      <c r="D9" s="6">
        <f>B9+C9</f>
        <v>822.12</v>
      </c>
    </row>
    <row r="10" spans="1:4" x14ac:dyDescent="0.3">
      <c r="A10" s="4" t="s">
        <v>3</v>
      </c>
      <c r="B10" s="6">
        <v>-4947.5</v>
      </c>
      <c r="C10" s="6"/>
      <c r="D10" s="6">
        <f>B10+C10</f>
        <v>-4947.5</v>
      </c>
    </row>
    <row r="11" spans="1:4" x14ac:dyDescent="0.3">
      <c r="A11" s="4" t="s">
        <v>4</v>
      </c>
      <c r="B11" s="8">
        <f>SUM(B7:B10)</f>
        <v>77939.62</v>
      </c>
      <c r="C11" s="8">
        <f>SUM(C7:C10)</f>
        <v>22860</v>
      </c>
      <c r="D11" s="8">
        <f>SUM(D7:D10)</f>
        <v>100799.62</v>
      </c>
    </row>
    <row r="12" spans="1:4" x14ac:dyDescent="0.3">
      <c r="A12" s="4" t="s">
        <v>5</v>
      </c>
      <c r="B12" s="8">
        <f>(B11)-(0)</f>
        <v>77939.62</v>
      </c>
      <c r="C12" s="8">
        <f>(C11)-(0)</f>
        <v>22860</v>
      </c>
      <c r="D12" s="8">
        <f>(D11)-(0)</f>
        <v>100799.62</v>
      </c>
    </row>
    <row r="13" spans="1:4" x14ac:dyDescent="0.3">
      <c r="A13" s="4" t="s">
        <v>6</v>
      </c>
      <c r="B13" s="5"/>
      <c r="C13" s="5"/>
      <c r="D13" s="5"/>
    </row>
    <row r="14" spans="1:4" x14ac:dyDescent="0.3">
      <c r="A14" s="4" t="s">
        <v>9</v>
      </c>
      <c r="B14" s="6">
        <v>7575.73</v>
      </c>
      <c r="C14" s="6">
        <v>22720.21</v>
      </c>
      <c r="D14" s="6">
        <f t="shared" ref="D14:D30" si="0">B14+C14</f>
        <v>30295.94</v>
      </c>
    </row>
    <row r="15" spans="1:4" x14ac:dyDescent="0.3">
      <c r="A15" s="4" t="s">
        <v>7</v>
      </c>
      <c r="B15" s="6">
        <f>10970</f>
        <v>10970</v>
      </c>
      <c r="C15" s="6"/>
      <c r="D15" s="6">
        <f>B15+C15</f>
        <v>10970</v>
      </c>
    </row>
    <row r="16" spans="1:4" x14ac:dyDescent="0.3">
      <c r="A16" s="4" t="s">
        <v>8</v>
      </c>
      <c r="B16" s="6">
        <f>10000</f>
        <v>10000</v>
      </c>
      <c r="C16" s="6"/>
      <c r="D16" s="6">
        <f>B16+C16</f>
        <v>10000</v>
      </c>
    </row>
    <row r="17" spans="1:4" x14ac:dyDescent="0.3">
      <c r="A17" s="4" t="s">
        <v>10</v>
      </c>
      <c r="B17" s="6">
        <f>6252.16</f>
        <v>6252.16</v>
      </c>
      <c r="C17" s="6"/>
      <c r="D17" s="6">
        <f t="shared" si="0"/>
        <v>6252.16</v>
      </c>
    </row>
    <row r="18" spans="1:4" x14ac:dyDescent="0.3">
      <c r="A18" s="4" t="s">
        <v>11</v>
      </c>
      <c r="B18" s="6">
        <f>6231</f>
        <v>6231</v>
      </c>
      <c r="C18" s="6"/>
      <c r="D18" s="6">
        <f t="shared" si="0"/>
        <v>6231</v>
      </c>
    </row>
    <row r="19" spans="1:4" x14ac:dyDescent="0.3">
      <c r="A19" s="4" t="s">
        <v>12</v>
      </c>
      <c r="B19" s="6">
        <f>4146.13</f>
        <v>4146.13</v>
      </c>
      <c r="C19" s="6"/>
      <c r="D19" s="6">
        <f t="shared" si="0"/>
        <v>4146.13</v>
      </c>
    </row>
    <row r="20" spans="1:4" x14ac:dyDescent="0.3">
      <c r="A20" s="4" t="s">
        <v>13</v>
      </c>
      <c r="B20" s="6">
        <f>4016.25</f>
        <v>4016.25</v>
      </c>
      <c r="C20" s="6"/>
      <c r="D20" s="6">
        <f t="shared" si="0"/>
        <v>4016.25</v>
      </c>
    </row>
    <row r="21" spans="1:4" x14ac:dyDescent="0.3">
      <c r="A21" s="4" t="s">
        <v>14</v>
      </c>
      <c r="B21" s="6">
        <f>3549.83</f>
        <v>3549.83</v>
      </c>
      <c r="C21" s="6"/>
      <c r="D21" s="6">
        <f t="shared" si="0"/>
        <v>3549.83</v>
      </c>
    </row>
    <row r="22" spans="1:4" x14ac:dyDescent="0.3">
      <c r="A22" s="4" t="s">
        <v>15</v>
      </c>
      <c r="B22" s="6">
        <f>1879.39</f>
        <v>1879.39</v>
      </c>
      <c r="C22" s="6"/>
      <c r="D22" s="6">
        <f t="shared" si="0"/>
        <v>1879.39</v>
      </c>
    </row>
    <row r="23" spans="1:4" x14ac:dyDescent="0.3">
      <c r="A23" s="4" t="s">
        <v>16</v>
      </c>
      <c r="B23" s="6">
        <f>984.8</f>
        <v>984.8</v>
      </c>
      <c r="C23" s="6"/>
      <c r="D23" s="6">
        <f t="shared" si="0"/>
        <v>984.8</v>
      </c>
    </row>
    <row r="24" spans="1:4" x14ac:dyDescent="0.3">
      <c r="A24" s="4" t="s">
        <v>17</v>
      </c>
      <c r="B24" s="6">
        <f>592.98</f>
        <v>592.98</v>
      </c>
      <c r="C24" s="6"/>
      <c r="D24" s="6">
        <f t="shared" si="0"/>
        <v>592.98</v>
      </c>
    </row>
    <row r="25" spans="1:4" x14ac:dyDescent="0.3">
      <c r="A25" s="4" t="s">
        <v>18</v>
      </c>
      <c r="B25" s="6">
        <f>592.2</f>
        <v>592.20000000000005</v>
      </c>
      <c r="C25" s="6"/>
      <c r="D25" s="6">
        <f t="shared" si="0"/>
        <v>592.20000000000005</v>
      </c>
    </row>
    <row r="26" spans="1:4" x14ac:dyDescent="0.3">
      <c r="A26" s="4" t="s">
        <v>19</v>
      </c>
      <c r="B26" s="6">
        <f>196.2</f>
        <v>196.2</v>
      </c>
      <c r="C26" s="6">
        <f>72</f>
        <v>72</v>
      </c>
      <c r="D26" s="6">
        <f t="shared" si="0"/>
        <v>268.2</v>
      </c>
    </row>
    <row r="27" spans="1:4" x14ac:dyDescent="0.3">
      <c r="A27" s="4" t="s">
        <v>20</v>
      </c>
      <c r="B27" s="6">
        <f>157.5</f>
        <v>157.5</v>
      </c>
      <c r="C27" s="6"/>
      <c r="D27" s="6">
        <f t="shared" si="0"/>
        <v>157.5</v>
      </c>
    </row>
    <row r="28" spans="1:4" x14ac:dyDescent="0.3">
      <c r="A28" s="4" t="s">
        <v>21</v>
      </c>
      <c r="B28" s="6">
        <f>120</f>
        <v>120</v>
      </c>
      <c r="C28" s="6"/>
      <c r="D28" s="6">
        <f t="shared" si="0"/>
        <v>120</v>
      </c>
    </row>
    <row r="29" spans="1:4" x14ac:dyDescent="0.3">
      <c r="A29" s="4" t="s">
        <v>22</v>
      </c>
      <c r="B29" s="6">
        <f>0.25</f>
        <v>0.25</v>
      </c>
      <c r="C29" s="6"/>
      <c r="D29" s="6">
        <f t="shared" si="0"/>
        <v>0.25</v>
      </c>
    </row>
    <row r="30" spans="1:4" x14ac:dyDescent="0.3">
      <c r="A30" s="4" t="s">
        <v>23</v>
      </c>
      <c r="B30" s="6">
        <f>-46.41</f>
        <v>-46.41</v>
      </c>
      <c r="C30" s="6"/>
      <c r="D30" s="6">
        <f t="shared" si="0"/>
        <v>-46.41</v>
      </c>
    </row>
    <row r="31" spans="1:4" x14ac:dyDescent="0.3">
      <c r="A31" s="4" t="s">
        <v>24</v>
      </c>
      <c r="B31" s="8">
        <f>SUM(B14:B30)</f>
        <v>57218.009999999995</v>
      </c>
      <c r="C31" s="8">
        <f>SUM(C14:C30)</f>
        <v>22792.21</v>
      </c>
      <c r="D31" s="8">
        <f>SUM(D14:D30)</f>
        <v>80010.22</v>
      </c>
    </row>
    <row r="32" spans="1:4" x14ac:dyDescent="0.3">
      <c r="A32" s="4" t="s">
        <v>25</v>
      </c>
      <c r="B32" s="7">
        <f>(((B12)-(B31))+(0))-(0)</f>
        <v>20721.61</v>
      </c>
      <c r="C32" s="7">
        <f>(((C12)-(C31))+(0))-(0)</f>
        <v>67.790000000000873</v>
      </c>
      <c r="D32" s="7">
        <f>(((D12)-(D31))+(0))-(0)</f>
        <v>20789.399999999994</v>
      </c>
    </row>
    <row r="33" spans="1:4" x14ac:dyDescent="0.3">
      <c r="A33" s="4"/>
      <c r="B33" s="5"/>
      <c r="C33" s="5"/>
      <c r="D33" s="5"/>
    </row>
    <row r="34" spans="1:4" x14ac:dyDescent="0.3">
      <c r="A34" s="4" t="s">
        <v>32</v>
      </c>
      <c r="B34" s="6">
        <v>-814.51</v>
      </c>
      <c r="C34" s="6">
        <f>5273.07</f>
        <v>5273.07</v>
      </c>
      <c r="D34" s="6">
        <f>B34+C34</f>
        <v>4458.5599999999995</v>
      </c>
    </row>
    <row r="35" spans="1:4" x14ac:dyDescent="0.3">
      <c r="A35" s="4" t="s">
        <v>31</v>
      </c>
      <c r="B35" s="6">
        <v>1863.33</v>
      </c>
      <c r="C35" s="6">
        <f>1122.44</f>
        <v>1122.44</v>
      </c>
      <c r="D35" s="6">
        <f>B35+C35</f>
        <v>2985.77</v>
      </c>
    </row>
    <row r="36" spans="1:4" x14ac:dyDescent="0.3">
      <c r="A36" s="4" t="s">
        <v>30</v>
      </c>
      <c r="B36" s="6">
        <v>3142.65</v>
      </c>
      <c r="C36" s="6">
        <f>2324.7</f>
        <v>2324.6999999999998</v>
      </c>
      <c r="D36" s="6">
        <f>B36+C36</f>
        <v>5467.35</v>
      </c>
    </row>
    <row r="37" spans="1:4" x14ac:dyDescent="0.3">
      <c r="A37" s="4" t="s">
        <v>29</v>
      </c>
      <c r="B37" s="6">
        <v>3384.26</v>
      </c>
      <c r="C37" s="6">
        <v>14000</v>
      </c>
      <c r="D37" s="6">
        <f>B37+C37</f>
        <v>17384.260000000002</v>
      </c>
    </row>
    <row r="38" spans="1:4" ht="27" customHeight="1" thickBot="1" x14ac:dyDescent="0.35">
      <c r="A38" s="4" t="s">
        <v>51</v>
      </c>
      <c r="B38" s="13">
        <f>SUM(B34:B37)</f>
        <v>7575.7300000000005</v>
      </c>
      <c r="C38" s="13">
        <f>SUM(C34:C37)</f>
        <v>22720.21</v>
      </c>
      <c r="D38" s="13">
        <f>SUM(D34:D37)</f>
        <v>30295.940000000002</v>
      </c>
    </row>
    <row r="39" spans="1:4" ht="24" thickTop="1" x14ac:dyDescent="0.3"/>
    <row r="40" spans="1:4" x14ac:dyDescent="0.3">
      <c r="A40" s="15"/>
      <c r="B40" s="16"/>
    </row>
  </sheetData>
  <mergeCells count="4">
    <mergeCell ref="A40:B40"/>
    <mergeCell ref="A1:D1"/>
    <mergeCell ref="A2:D2"/>
    <mergeCell ref="A3:D3"/>
  </mergeCells>
  <phoneticPr fontId="1" type="noConversion"/>
  <pageMargins left="0.7" right="0.7" top="0.75" bottom="0.75" header="0.3" footer="0.3"/>
  <pageSetup scale="61" fitToHeight="0" orientation="portrait" horizontalDpi="0" verticalDpi="0" copies="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41"/>
  <sheetViews>
    <sheetView topLeftCell="A2" zoomScale="90" zoomScaleNormal="90" zoomScalePageLayoutView="90" workbookViewId="0">
      <selection activeCell="D35" sqref="D35"/>
    </sheetView>
  </sheetViews>
  <sheetFormatPr baseColWidth="10" defaultColWidth="8.83203125" defaultRowHeight="23" x14ac:dyDescent="0.3"/>
  <cols>
    <col min="1" max="1" width="60.83203125" style="1" customWidth="1"/>
    <col min="2" max="4" width="25.83203125" style="1" customWidth="1"/>
    <col min="5" max="16384" width="8.83203125" style="1"/>
  </cols>
  <sheetData>
    <row r="1" spans="1:4" x14ac:dyDescent="0.3">
      <c r="A1" s="14" t="s">
        <v>26</v>
      </c>
      <c r="B1" s="14"/>
      <c r="C1" s="14"/>
      <c r="D1" s="14"/>
    </row>
    <row r="2" spans="1:4" x14ac:dyDescent="0.3">
      <c r="A2" s="14" t="s">
        <v>27</v>
      </c>
      <c r="B2" s="14"/>
      <c r="C2" s="14"/>
      <c r="D2" s="14"/>
    </row>
    <row r="3" spans="1:4" x14ac:dyDescent="0.3">
      <c r="A3" s="14" t="s">
        <v>41</v>
      </c>
      <c r="B3" s="14"/>
      <c r="C3" s="14"/>
      <c r="D3" s="14"/>
    </row>
    <row r="5" spans="1:4" x14ac:dyDescent="0.3">
      <c r="A5" s="2"/>
      <c r="B5" s="3" t="s">
        <v>34</v>
      </c>
      <c r="C5" s="3" t="s">
        <v>35</v>
      </c>
      <c r="D5" s="3" t="s">
        <v>36</v>
      </c>
    </row>
    <row r="6" spans="1:4" x14ac:dyDescent="0.3">
      <c r="A6" s="4" t="s">
        <v>0</v>
      </c>
      <c r="B6" s="5"/>
      <c r="C6" s="5"/>
      <c r="D6" s="5"/>
    </row>
    <row r="7" spans="1:4" x14ac:dyDescent="0.3">
      <c r="A7" s="4" t="s">
        <v>1</v>
      </c>
      <c r="B7" s="6">
        <f>77285</f>
        <v>77285</v>
      </c>
      <c r="C7" s="6"/>
      <c r="D7" s="6">
        <f t="shared" ref="D7:D13" si="0">SUM(B7:C7)</f>
        <v>77285</v>
      </c>
    </row>
    <row r="8" spans="1:4" x14ac:dyDescent="0.3">
      <c r="A8" s="4" t="s">
        <v>40</v>
      </c>
      <c r="B8" s="6">
        <f>13658</f>
        <v>13658</v>
      </c>
      <c r="C8" s="6"/>
      <c r="D8" s="6">
        <f t="shared" si="0"/>
        <v>13658</v>
      </c>
    </row>
    <row r="9" spans="1:4" x14ac:dyDescent="0.3">
      <c r="A9" s="4" t="s">
        <v>33</v>
      </c>
      <c r="B9" s="6"/>
      <c r="C9" s="6">
        <f>22860</f>
        <v>22860</v>
      </c>
      <c r="D9" s="6">
        <f t="shared" si="0"/>
        <v>22860</v>
      </c>
    </row>
    <row r="10" spans="1:4" x14ac:dyDescent="0.3">
      <c r="A10" s="4" t="s">
        <v>39</v>
      </c>
      <c r="B10" s="6">
        <f>13432.97</f>
        <v>13432.97</v>
      </c>
      <c r="C10" s="6"/>
      <c r="D10" s="6">
        <f t="shared" si="0"/>
        <v>13432.97</v>
      </c>
    </row>
    <row r="11" spans="1:4" x14ac:dyDescent="0.3">
      <c r="A11" s="4" t="s">
        <v>38</v>
      </c>
      <c r="B11" s="6">
        <f>4255</f>
        <v>4255</v>
      </c>
      <c r="C11" s="6"/>
      <c r="D11" s="6">
        <f t="shared" si="0"/>
        <v>4255</v>
      </c>
    </row>
    <row r="12" spans="1:4" x14ac:dyDescent="0.3">
      <c r="A12" s="4" t="s">
        <v>2</v>
      </c>
      <c r="B12" s="6">
        <f>637.16</f>
        <v>637.16</v>
      </c>
      <c r="C12" s="6"/>
      <c r="D12" s="6">
        <f t="shared" si="0"/>
        <v>637.16</v>
      </c>
    </row>
    <row r="13" spans="1:4" x14ac:dyDescent="0.3">
      <c r="A13" s="4" t="s">
        <v>3</v>
      </c>
      <c r="B13" s="6">
        <f>-2340</f>
        <v>-2340</v>
      </c>
      <c r="C13" s="6"/>
      <c r="D13" s="6">
        <f t="shared" si="0"/>
        <v>-2340</v>
      </c>
    </row>
    <row r="14" spans="1:4" x14ac:dyDescent="0.3">
      <c r="A14" s="4" t="s">
        <v>4</v>
      </c>
      <c r="B14" s="7">
        <f>SUM(B7:B13)</f>
        <v>106928.13</v>
      </c>
      <c r="C14" s="7">
        <f>SUM(C7:C13)</f>
        <v>22860</v>
      </c>
      <c r="D14" s="7">
        <f>SUM(D7:D13)</f>
        <v>129788.13</v>
      </c>
    </row>
    <row r="15" spans="1:4" x14ac:dyDescent="0.3">
      <c r="A15" s="4" t="s">
        <v>5</v>
      </c>
      <c r="B15" s="7">
        <f>(B14)-(0)</f>
        <v>106928.13</v>
      </c>
      <c r="C15" s="7">
        <f>(C14)-(0)</f>
        <v>22860</v>
      </c>
      <c r="D15" s="7">
        <f>(D14)-(0)</f>
        <v>129788.13</v>
      </c>
    </row>
    <row r="16" spans="1:4" x14ac:dyDescent="0.3">
      <c r="A16" s="4" t="s">
        <v>6</v>
      </c>
      <c r="B16" s="5"/>
      <c r="C16" s="5"/>
      <c r="D16" s="5"/>
    </row>
    <row r="17" spans="1:4" x14ac:dyDescent="0.3">
      <c r="A17" s="4" t="s">
        <v>9</v>
      </c>
      <c r="B17" s="6">
        <v>6633.42</v>
      </c>
      <c r="C17" s="6">
        <v>22771.97</v>
      </c>
      <c r="D17" s="6">
        <f t="shared" ref="D17:D31" si="1">SUM(B17:C17)</f>
        <v>29405.39</v>
      </c>
    </row>
    <row r="18" spans="1:4" x14ac:dyDescent="0.3">
      <c r="A18" s="4" t="s">
        <v>14</v>
      </c>
      <c r="B18" s="6">
        <f>19461.83</f>
        <v>19461.830000000002</v>
      </c>
      <c r="C18" s="6"/>
      <c r="D18" s="6">
        <f t="shared" si="1"/>
        <v>19461.830000000002</v>
      </c>
    </row>
    <row r="19" spans="1:4" x14ac:dyDescent="0.3">
      <c r="A19" s="4" t="s">
        <v>37</v>
      </c>
      <c r="B19" s="6">
        <f>13432.97</f>
        <v>13432.97</v>
      </c>
      <c r="C19" s="6"/>
      <c r="D19" s="6">
        <f t="shared" si="1"/>
        <v>13432.97</v>
      </c>
    </row>
    <row r="20" spans="1:4" x14ac:dyDescent="0.3">
      <c r="A20" s="4" t="s">
        <v>7</v>
      </c>
      <c r="B20" s="6">
        <f>11393.2</f>
        <v>11393.2</v>
      </c>
      <c r="C20" s="6"/>
      <c r="D20" s="6">
        <f t="shared" si="1"/>
        <v>11393.2</v>
      </c>
    </row>
    <row r="21" spans="1:4" x14ac:dyDescent="0.3">
      <c r="A21" s="4" t="s">
        <v>8</v>
      </c>
      <c r="B21" s="6">
        <f>10000</f>
        <v>10000</v>
      </c>
      <c r="C21" s="6"/>
      <c r="D21" s="6">
        <f t="shared" si="1"/>
        <v>10000</v>
      </c>
    </row>
    <row r="22" spans="1:4" x14ac:dyDescent="0.3">
      <c r="A22" s="4" t="s">
        <v>10</v>
      </c>
      <c r="B22" s="6">
        <f>6455.06</f>
        <v>6455.06</v>
      </c>
      <c r="C22" s="6"/>
      <c r="D22" s="6">
        <f t="shared" si="1"/>
        <v>6455.06</v>
      </c>
    </row>
    <row r="23" spans="1:4" x14ac:dyDescent="0.3">
      <c r="A23" s="4" t="s">
        <v>23</v>
      </c>
      <c r="B23" s="6">
        <f>5747.43</f>
        <v>5747.43</v>
      </c>
      <c r="C23" s="6"/>
      <c r="D23" s="6">
        <f t="shared" si="1"/>
        <v>5747.43</v>
      </c>
    </row>
    <row r="24" spans="1:4" x14ac:dyDescent="0.3">
      <c r="A24" s="4" t="s">
        <v>11</v>
      </c>
      <c r="B24" s="6">
        <f>5675</f>
        <v>5675</v>
      </c>
      <c r="C24" s="6"/>
      <c r="D24" s="6">
        <f t="shared" si="1"/>
        <v>5675</v>
      </c>
    </row>
    <row r="25" spans="1:4" x14ac:dyDescent="0.3">
      <c r="A25" s="4" t="s">
        <v>12</v>
      </c>
      <c r="B25" s="6">
        <f>3822.94</f>
        <v>3822.94</v>
      </c>
      <c r="C25" s="6"/>
      <c r="D25" s="6">
        <f t="shared" si="1"/>
        <v>3822.94</v>
      </c>
    </row>
    <row r="26" spans="1:4" x14ac:dyDescent="0.3">
      <c r="A26" s="4" t="s">
        <v>13</v>
      </c>
      <c r="B26" s="6">
        <f>3319.65</f>
        <v>3319.65</v>
      </c>
      <c r="C26" s="6"/>
      <c r="D26" s="6">
        <f t="shared" si="1"/>
        <v>3319.65</v>
      </c>
    </row>
    <row r="27" spans="1:4" x14ac:dyDescent="0.3">
      <c r="A27" s="4" t="s">
        <v>15</v>
      </c>
      <c r="B27" s="6">
        <f>1696.03</f>
        <v>1696.03</v>
      </c>
      <c r="C27" s="6"/>
      <c r="D27" s="6">
        <f t="shared" si="1"/>
        <v>1696.03</v>
      </c>
    </row>
    <row r="28" spans="1:4" x14ac:dyDescent="0.3">
      <c r="A28" s="4" t="s">
        <v>20</v>
      </c>
      <c r="B28" s="6">
        <f>850.5</f>
        <v>850.5</v>
      </c>
      <c r="C28" s="6"/>
      <c r="D28" s="6">
        <f t="shared" si="1"/>
        <v>850.5</v>
      </c>
    </row>
    <row r="29" spans="1:4" x14ac:dyDescent="0.3">
      <c r="A29" s="4" t="s">
        <v>16</v>
      </c>
      <c r="B29" s="6">
        <f>641.46</f>
        <v>641.46</v>
      </c>
      <c r="C29" s="6"/>
      <c r="D29" s="6">
        <f t="shared" si="1"/>
        <v>641.46</v>
      </c>
    </row>
    <row r="30" spans="1:4" x14ac:dyDescent="0.3">
      <c r="A30" s="4" t="s">
        <v>17</v>
      </c>
      <c r="B30" s="6">
        <f>639.85</f>
        <v>639.85</v>
      </c>
      <c r="C30" s="6"/>
      <c r="D30" s="6">
        <f t="shared" si="1"/>
        <v>639.85</v>
      </c>
    </row>
    <row r="31" spans="1:4" x14ac:dyDescent="0.3">
      <c r="A31" s="4" t="s">
        <v>19</v>
      </c>
      <c r="B31" s="6">
        <f>392.39</f>
        <v>392.39</v>
      </c>
      <c r="C31" s="6">
        <f>72</f>
        <v>72</v>
      </c>
      <c r="D31" s="6">
        <f t="shared" si="1"/>
        <v>464.39</v>
      </c>
    </row>
    <row r="32" spans="1:4" x14ac:dyDescent="0.3">
      <c r="A32" s="4" t="s">
        <v>24</v>
      </c>
      <c r="B32" s="7">
        <f>SUM(B17:B31)</f>
        <v>90161.73000000001</v>
      </c>
      <c r="C32" s="7">
        <f>SUM(C17:C31)</f>
        <v>22843.97</v>
      </c>
      <c r="D32" s="7">
        <f>SUM(D17:D31)</f>
        <v>113005.70000000001</v>
      </c>
    </row>
    <row r="33" spans="1:4" x14ac:dyDescent="0.3">
      <c r="A33" s="4" t="s">
        <v>25</v>
      </c>
      <c r="B33" s="7">
        <f>(((B15)-(B32))+(0))-(0)</f>
        <v>16766.399999999994</v>
      </c>
      <c r="C33" s="7">
        <f>(((C15)-(C32))+(0))-(0)</f>
        <v>16.029999999998836</v>
      </c>
      <c r="D33" s="7">
        <f>(((D15)-(D32))+(0))-(0)</f>
        <v>16782.429999999993</v>
      </c>
    </row>
    <row r="34" spans="1:4" x14ac:dyDescent="0.3">
      <c r="A34" s="4"/>
      <c r="B34" s="5"/>
      <c r="C34" s="5"/>
      <c r="D34" s="5"/>
    </row>
    <row r="35" spans="1:4" x14ac:dyDescent="0.3">
      <c r="A35" s="4" t="s">
        <v>32</v>
      </c>
      <c r="B35" s="6">
        <v>3475.96</v>
      </c>
      <c r="C35" s="6">
        <v>0</v>
      </c>
      <c r="D35" s="6">
        <f>SUM(B35:C35)</f>
        <v>3475.96</v>
      </c>
    </row>
    <row r="36" spans="1:4" x14ac:dyDescent="0.3">
      <c r="A36" s="4" t="s">
        <v>31</v>
      </c>
      <c r="B36" s="6">
        <v>94.59</v>
      </c>
      <c r="C36" s="6">
        <f>4850.23</f>
        <v>4850.2299999999996</v>
      </c>
      <c r="D36" s="6">
        <f>SUM(B36:C36)</f>
        <v>4944.82</v>
      </c>
    </row>
    <row r="37" spans="1:4" x14ac:dyDescent="0.3">
      <c r="A37" s="4" t="s">
        <v>30</v>
      </c>
      <c r="B37" s="6">
        <v>3062.87</v>
      </c>
      <c r="C37" s="6">
        <v>0</v>
      </c>
      <c r="D37" s="6">
        <f>SUM(B37:C37)</f>
        <v>3062.87</v>
      </c>
    </row>
    <row r="38" spans="1:4" x14ac:dyDescent="0.3">
      <c r="A38" s="4" t="s">
        <v>29</v>
      </c>
      <c r="B38" s="6">
        <v>0</v>
      </c>
      <c r="C38" s="6">
        <f>17921.74</f>
        <v>17921.740000000002</v>
      </c>
      <c r="D38" s="6">
        <f>SUM(B38:C38)</f>
        <v>17921.740000000002</v>
      </c>
    </row>
    <row r="39" spans="1:4" s="12" customFormat="1" ht="27" customHeight="1" thickBot="1" x14ac:dyDescent="0.35">
      <c r="A39" s="4" t="s">
        <v>51</v>
      </c>
      <c r="B39" s="13">
        <f>SUM(B35:B38)</f>
        <v>6633.42</v>
      </c>
      <c r="C39" s="13">
        <f>SUM(C35:C38)</f>
        <v>22771.97</v>
      </c>
      <c r="D39" s="13">
        <f>SUM(D35:D38)</f>
        <v>29405.39</v>
      </c>
    </row>
    <row r="40" spans="1:4" ht="24" thickTop="1" x14ac:dyDescent="0.3"/>
    <row r="41" spans="1:4" x14ac:dyDescent="0.3">
      <c r="A41" s="15"/>
      <c r="B41" s="16"/>
    </row>
  </sheetData>
  <mergeCells count="4">
    <mergeCell ref="A41:B41"/>
    <mergeCell ref="A1:D1"/>
    <mergeCell ref="A2:D2"/>
    <mergeCell ref="A3:D3"/>
  </mergeCells>
  <phoneticPr fontId="1" type="noConversion"/>
  <pageMargins left="0.7" right="0.7" top="0.75" bottom="0.75" header="0.3" footer="0.3"/>
  <pageSetup scale="61" fitToHeight="0" orientation="portrait" horizontalDpi="0" verticalDpi="0" copies="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39"/>
  <sheetViews>
    <sheetView zoomScale="90" zoomScaleNormal="90" zoomScalePageLayoutView="90" workbookViewId="0">
      <selection activeCell="A38" sqref="A38"/>
    </sheetView>
  </sheetViews>
  <sheetFormatPr baseColWidth="10" defaultColWidth="8.83203125" defaultRowHeight="23" x14ac:dyDescent="0.3"/>
  <cols>
    <col min="1" max="1" width="60.83203125" style="1" customWidth="1"/>
    <col min="2" max="4" width="25.83203125" style="1" customWidth="1"/>
    <col min="5" max="16384" width="8.83203125" style="1"/>
  </cols>
  <sheetData>
    <row r="1" spans="1:4" x14ac:dyDescent="0.3">
      <c r="A1" s="14" t="s">
        <v>26</v>
      </c>
      <c r="B1" s="14"/>
      <c r="C1" s="14"/>
      <c r="D1" s="14"/>
    </row>
    <row r="2" spans="1:4" x14ac:dyDescent="0.3">
      <c r="A2" s="14" t="s">
        <v>27</v>
      </c>
      <c r="B2" s="14"/>
      <c r="C2" s="14"/>
      <c r="D2" s="14"/>
    </row>
    <row r="3" spans="1:4" x14ac:dyDescent="0.3">
      <c r="A3" s="14" t="s">
        <v>43</v>
      </c>
      <c r="B3" s="14"/>
      <c r="C3" s="14"/>
      <c r="D3" s="14"/>
    </row>
    <row r="5" spans="1:4" x14ac:dyDescent="0.3">
      <c r="A5" s="2"/>
      <c r="B5" s="3" t="s">
        <v>34</v>
      </c>
      <c r="C5" s="3" t="s">
        <v>35</v>
      </c>
      <c r="D5" s="3" t="s">
        <v>36</v>
      </c>
    </row>
    <row r="6" spans="1:4" x14ac:dyDescent="0.3">
      <c r="A6" s="4" t="s">
        <v>0</v>
      </c>
      <c r="B6" s="5"/>
      <c r="C6" s="5"/>
      <c r="D6" s="5"/>
    </row>
    <row r="7" spans="1:4" x14ac:dyDescent="0.3">
      <c r="A7" s="4" t="s">
        <v>1</v>
      </c>
      <c r="B7" s="6">
        <f>76850</f>
        <v>76850</v>
      </c>
      <c r="C7" s="6"/>
      <c r="D7" s="6">
        <f>SUM(B7:C7)</f>
        <v>76850</v>
      </c>
    </row>
    <row r="8" spans="1:4" x14ac:dyDescent="0.3">
      <c r="A8" s="4" t="s">
        <v>40</v>
      </c>
      <c r="B8" s="6">
        <f>13806</f>
        <v>13806</v>
      </c>
      <c r="C8" s="6"/>
      <c r="D8" s="6">
        <f>SUM(B8:C8)</f>
        <v>13806</v>
      </c>
    </row>
    <row r="9" spans="1:4" x14ac:dyDescent="0.3">
      <c r="A9" s="4" t="s">
        <v>33</v>
      </c>
      <c r="B9" s="6"/>
      <c r="C9" s="6">
        <f>21600</f>
        <v>21600</v>
      </c>
      <c r="D9" s="6">
        <f>SUM(B9:C9)</f>
        <v>21600</v>
      </c>
    </row>
    <row r="10" spans="1:4" x14ac:dyDescent="0.3">
      <c r="A10" s="4" t="s">
        <v>38</v>
      </c>
      <c r="B10" s="6">
        <f>5835</f>
        <v>5835</v>
      </c>
      <c r="C10" s="6"/>
      <c r="D10" s="6">
        <f>SUM(B10:C10)</f>
        <v>5835</v>
      </c>
    </row>
    <row r="11" spans="1:4" x14ac:dyDescent="0.3">
      <c r="A11" s="4" t="s">
        <v>3</v>
      </c>
      <c r="B11" s="6">
        <f>-2770</f>
        <v>-2770</v>
      </c>
      <c r="C11" s="6"/>
      <c r="D11" s="6">
        <f>SUM(B11:C11)</f>
        <v>-2770</v>
      </c>
    </row>
    <row r="12" spans="1:4" x14ac:dyDescent="0.3">
      <c r="A12" s="4" t="s">
        <v>4</v>
      </c>
      <c r="B12" s="7">
        <f>SUM(B7:B11)</f>
        <v>93721</v>
      </c>
      <c r="C12" s="7">
        <f>SUM(C7:C11)</f>
        <v>21600</v>
      </c>
      <c r="D12" s="7">
        <f>SUM(D7:D11)</f>
        <v>115321</v>
      </c>
    </row>
    <row r="13" spans="1:4" x14ac:dyDescent="0.3">
      <c r="A13" s="4" t="s">
        <v>5</v>
      </c>
      <c r="B13" s="7">
        <f>(B12)-(0)</f>
        <v>93721</v>
      </c>
      <c r="C13" s="7">
        <f>(C12)-(0)</f>
        <v>21600</v>
      </c>
      <c r="D13" s="7">
        <f>(D12)-(0)</f>
        <v>115321</v>
      </c>
    </row>
    <row r="14" spans="1:4" x14ac:dyDescent="0.3">
      <c r="A14" s="4" t="s">
        <v>6</v>
      </c>
      <c r="B14" s="5"/>
      <c r="C14" s="5"/>
      <c r="D14" s="5"/>
    </row>
    <row r="15" spans="1:4" x14ac:dyDescent="0.3">
      <c r="A15" s="4" t="s">
        <v>9</v>
      </c>
      <c r="B15" s="5">
        <v>26872.36</v>
      </c>
      <c r="C15" s="5"/>
      <c r="D15" s="6">
        <f t="shared" ref="D15:D30" si="0">SUM(B15:C15)</f>
        <v>26872.36</v>
      </c>
    </row>
    <row r="16" spans="1:4" x14ac:dyDescent="0.3">
      <c r="A16" s="4" t="s">
        <v>14</v>
      </c>
      <c r="B16" s="6">
        <f>15122.25</f>
        <v>15122.25</v>
      </c>
      <c r="C16" s="6"/>
      <c r="D16" s="6">
        <f t="shared" si="0"/>
        <v>15122.25</v>
      </c>
    </row>
    <row r="17" spans="1:4" x14ac:dyDescent="0.3">
      <c r="A17" s="4" t="s">
        <v>8</v>
      </c>
      <c r="B17" s="6">
        <f>10000</f>
        <v>10000</v>
      </c>
      <c r="C17" s="6"/>
      <c r="D17" s="6">
        <f t="shared" si="0"/>
        <v>10000</v>
      </c>
    </row>
    <row r="18" spans="1:4" x14ac:dyDescent="0.3">
      <c r="A18" s="4" t="s">
        <v>7</v>
      </c>
      <c r="B18" s="6">
        <f>9835.44</f>
        <v>9835.44</v>
      </c>
      <c r="C18" s="6"/>
      <c r="D18" s="6">
        <f t="shared" si="0"/>
        <v>9835.44</v>
      </c>
    </row>
    <row r="19" spans="1:4" x14ac:dyDescent="0.3">
      <c r="A19" s="4" t="s">
        <v>23</v>
      </c>
      <c r="B19" s="6">
        <f>6668.67</f>
        <v>6668.67</v>
      </c>
      <c r="C19" s="6"/>
      <c r="D19" s="6">
        <f t="shared" si="0"/>
        <v>6668.67</v>
      </c>
    </row>
    <row r="20" spans="1:4" x14ac:dyDescent="0.3">
      <c r="A20" s="4" t="s">
        <v>10</v>
      </c>
      <c r="B20" s="6">
        <f>6604.91</f>
        <v>6604.91</v>
      </c>
      <c r="C20" s="6"/>
      <c r="D20" s="6">
        <f t="shared" si="0"/>
        <v>6604.91</v>
      </c>
    </row>
    <row r="21" spans="1:4" x14ac:dyDescent="0.3">
      <c r="A21" s="4" t="s">
        <v>11</v>
      </c>
      <c r="B21" s="6">
        <f>4917</f>
        <v>4917</v>
      </c>
      <c r="C21" s="6"/>
      <c r="D21" s="6">
        <f t="shared" si="0"/>
        <v>4917</v>
      </c>
    </row>
    <row r="22" spans="1:4" x14ac:dyDescent="0.3">
      <c r="A22" s="4" t="s">
        <v>12</v>
      </c>
      <c r="B22" s="6">
        <f>3658.14</f>
        <v>3658.14</v>
      </c>
      <c r="C22" s="6"/>
      <c r="D22" s="6">
        <f t="shared" si="0"/>
        <v>3658.14</v>
      </c>
    </row>
    <row r="23" spans="1:4" x14ac:dyDescent="0.3">
      <c r="A23" s="4" t="s">
        <v>13</v>
      </c>
      <c r="B23" s="6">
        <f>1653.8</f>
        <v>1653.8</v>
      </c>
      <c r="C23" s="6"/>
      <c r="D23" s="6">
        <f t="shared" si="0"/>
        <v>1653.8</v>
      </c>
    </row>
    <row r="24" spans="1:4" x14ac:dyDescent="0.3">
      <c r="A24" s="4" t="s">
        <v>16</v>
      </c>
      <c r="B24" s="6">
        <f>1264.75</f>
        <v>1264.75</v>
      </c>
      <c r="C24" s="6"/>
      <c r="D24" s="6">
        <f t="shared" si="0"/>
        <v>1264.75</v>
      </c>
    </row>
    <row r="25" spans="1:4" x14ac:dyDescent="0.3">
      <c r="A25" s="4" t="s">
        <v>15</v>
      </c>
      <c r="B25" s="6">
        <f>1155.13</f>
        <v>1155.1300000000001</v>
      </c>
      <c r="C25" s="6"/>
      <c r="D25" s="6">
        <f t="shared" si="0"/>
        <v>1155.1300000000001</v>
      </c>
    </row>
    <row r="26" spans="1:4" x14ac:dyDescent="0.3">
      <c r="A26" s="4" t="s">
        <v>20</v>
      </c>
      <c r="B26" s="6">
        <f>472.5</f>
        <v>472.5</v>
      </c>
      <c r="C26" s="6"/>
      <c r="D26" s="6">
        <f t="shared" si="0"/>
        <v>472.5</v>
      </c>
    </row>
    <row r="27" spans="1:4" x14ac:dyDescent="0.3">
      <c r="A27" s="4" t="s">
        <v>17</v>
      </c>
      <c r="B27" s="6">
        <f>243.8</f>
        <v>243.8</v>
      </c>
      <c r="C27" s="6"/>
      <c r="D27" s="6">
        <f t="shared" si="0"/>
        <v>243.8</v>
      </c>
    </row>
    <row r="28" spans="1:4" x14ac:dyDescent="0.3">
      <c r="A28" s="4" t="s">
        <v>19</v>
      </c>
      <c r="B28" s="6">
        <f>155.8</f>
        <v>155.80000000000001</v>
      </c>
      <c r="C28" s="6">
        <f>221.58</f>
        <v>221.58</v>
      </c>
      <c r="D28" s="6">
        <f t="shared" si="0"/>
        <v>377.38</v>
      </c>
    </row>
    <row r="29" spans="1:4" x14ac:dyDescent="0.3">
      <c r="A29" s="4" t="s">
        <v>42</v>
      </c>
      <c r="B29" s="6">
        <f>150</f>
        <v>150</v>
      </c>
      <c r="C29" s="6"/>
      <c r="D29" s="6">
        <f t="shared" si="0"/>
        <v>150</v>
      </c>
    </row>
    <row r="30" spans="1:4" x14ac:dyDescent="0.3">
      <c r="A30" s="4" t="s">
        <v>22</v>
      </c>
      <c r="B30" s="6">
        <f>49</f>
        <v>49</v>
      </c>
      <c r="C30" s="6"/>
      <c r="D30" s="6">
        <f t="shared" si="0"/>
        <v>49</v>
      </c>
    </row>
    <row r="31" spans="1:4" x14ac:dyDescent="0.3">
      <c r="A31" s="4" t="s">
        <v>24</v>
      </c>
      <c r="B31" s="7">
        <f>SUM(B15:B30)</f>
        <v>88823.550000000017</v>
      </c>
      <c r="C31" s="7">
        <f>SUM(C15:C30)</f>
        <v>221.58</v>
      </c>
      <c r="D31" s="7">
        <f>SUM(D15:D30)</f>
        <v>89045.130000000019</v>
      </c>
    </row>
    <row r="32" spans="1:4" x14ac:dyDescent="0.3">
      <c r="A32" s="4" t="s">
        <v>25</v>
      </c>
      <c r="B32" s="7">
        <f>(((B13)-(B31))+(0))-(0)</f>
        <v>4897.4499999999825</v>
      </c>
      <c r="C32" s="7">
        <f>(((C13)-(C31))+(0))-(0)</f>
        <v>21378.42</v>
      </c>
      <c r="D32" s="7">
        <f>(((D13)-(D31))+(0))-(0)</f>
        <v>26275.869999999981</v>
      </c>
    </row>
    <row r="33" spans="1:4" x14ac:dyDescent="0.3">
      <c r="A33" s="4"/>
      <c r="B33" s="5"/>
      <c r="C33" s="5"/>
      <c r="D33" s="5"/>
    </row>
    <row r="34" spans="1:4" x14ac:dyDescent="0.3">
      <c r="A34" s="4" t="s">
        <v>32</v>
      </c>
      <c r="B34" s="6">
        <v>5721.21</v>
      </c>
      <c r="C34" s="6"/>
      <c r="D34" s="6">
        <f>SUM(B34:C34)</f>
        <v>5721.21</v>
      </c>
    </row>
    <row r="35" spans="1:4" x14ac:dyDescent="0.3">
      <c r="A35" s="4" t="s">
        <v>31</v>
      </c>
      <c r="B35" s="6">
        <v>3409.32</v>
      </c>
      <c r="C35" s="6"/>
      <c r="D35" s="6">
        <f>SUM(B35:C35)</f>
        <v>3409.32</v>
      </c>
    </row>
    <row r="36" spans="1:4" x14ac:dyDescent="0.3">
      <c r="A36" s="4" t="s">
        <v>29</v>
      </c>
      <c r="B36" s="6">
        <v>17741.830000000002</v>
      </c>
      <c r="C36" s="6"/>
      <c r="D36" s="6">
        <f>SUM(B36:C36)</f>
        <v>17741.830000000002</v>
      </c>
    </row>
    <row r="37" spans="1:4" s="12" customFormat="1" ht="27" customHeight="1" thickBot="1" x14ac:dyDescent="0.35">
      <c r="A37" s="4" t="s">
        <v>51</v>
      </c>
      <c r="B37" s="13">
        <f>SUM(B34:B36)</f>
        <v>26872.36</v>
      </c>
      <c r="C37" s="13">
        <f>SUM(C34:C36)</f>
        <v>0</v>
      </c>
      <c r="D37" s="13">
        <f>SUM(D34:D36)</f>
        <v>26872.36</v>
      </c>
    </row>
    <row r="38" spans="1:4" ht="24" thickTop="1" x14ac:dyDescent="0.3"/>
    <row r="39" spans="1:4" x14ac:dyDescent="0.3">
      <c r="A39" s="15"/>
      <c r="B39" s="16"/>
    </row>
  </sheetData>
  <mergeCells count="4">
    <mergeCell ref="A39:B39"/>
    <mergeCell ref="A1:D1"/>
    <mergeCell ref="A2:D2"/>
    <mergeCell ref="A3:D3"/>
  </mergeCells>
  <phoneticPr fontId="1" type="noConversion"/>
  <pageMargins left="0.7" right="0.7" top="0.75" bottom="0.75" header="0.3" footer="0.3"/>
  <pageSetup scale="61" fitToHeight="0" orientation="portrait" horizontalDpi="0" verticalDpi="0" copies="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P&amp;L Consolidated 2018</vt:lpstr>
      <vt:lpstr>P&amp;L Consolidated 2017</vt:lpstr>
      <vt:lpstr>P&amp;L Consolidated 2016</vt:lpstr>
      <vt:lpstr>P&amp;L Consolidated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Trish Janik</cp:lastModifiedBy>
  <cp:lastPrinted>2018-11-18T23:25:16Z</cp:lastPrinted>
  <dcterms:created xsi:type="dcterms:W3CDTF">2018-03-05T23:29:24Z</dcterms:created>
  <dcterms:modified xsi:type="dcterms:W3CDTF">2019-01-02T00:50:55Z</dcterms:modified>
</cp:coreProperties>
</file>